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808"/>
  </bookViews>
  <sheets>
    <sheet name="OCAK" sheetId="1" r:id="rId1"/>
    <sheet name="ŞUBAT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2" i="1" l="1"/>
  <c r="U31" i="1"/>
  <c r="U30" i="1"/>
  <c r="P39" i="1" s="1"/>
  <c r="P41" i="1" s="1"/>
  <c r="P42" i="1" s="1"/>
  <c r="Q29" i="1"/>
  <c r="R29" i="1"/>
  <c r="E29" i="1"/>
  <c r="R3" i="1"/>
  <c r="K3" i="1"/>
  <c r="E3" i="1"/>
  <c r="R32" i="1"/>
  <c r="B3" i="1"/>
  <c r="L40" i="1"/>
  <c r="F45" i="1"/>
  <c r="D43" i="1"/>
  <c r="B41" i="1"/>
  <c r="D41" i="1"/>
  <c r="F41" i="1"/>
  <c r="I43" i="1"/>
  <c r="H41" i="1"/>
  <c r="I41" i="1"/>
  <c r="S4" i="2" l="1"/>
  <c r="R4" i="2"/>
  <c r="N4" i="2"/>
  <c r="K4" i="2"/>
  <c r="H4" i="2"/>
  <c r="E4" i="2"/>
  <c r="B4" i="2"/>
  <c r="U3" i="2"/>
  <c r="R3" i="2"/>
  <c r="Q3" i="2"/>
  <c r="K3" i="2"/>
  <c r="H3" i="2"/>
  <c r="E3" i="2"/>
  <c r="B3" i="2"/>
  <c r="O29" i="2" l="1"/>
  <c r="P29" i="2" s="1"/>
  <c r="L29" i="2"/>
  <c r="M29" i="2" s="1"/>
  <c r="I29" i="2"/>
  <c r="J29" i="2" s="1"/>
  <c r="F29" i="2"/>
  <c r="G29" i="2" s="1"/>
  <c r="C29" i="2"/>
  <c r="D29" i="2" s="1"/>
  <c r="O28" i="2"/>
  <c r="P28" i="2" s="1"/>
  <c r="L28" i="2"/>
  <c r="M28" i="2" s="1"/>
  <c r="I28" i="2"/>
  <c r="J28" i="2" s="1"/>
  <c r="F28" i="2"/>
  <c r="G28" i="2" s="1"/>
  <c r="C28" i="2"/>
  <c r="D28" i="2" s="1"/>
  <c r="O27" i="2"/>
  <c r="P27" i="2" s="1"/>
  <c r="L27" i="2"/>
  <c r="M27" i="2" s="1"/>
  <c r="I27" i="2"/>
  <c r="J27" i="2" s="1"/>
  <c r="F27" i="2"/>
  <c r="G27" i="2" s="1"/>
  <c r="C27" i="2"/>
  <c r="D27" i="2" s="1"/>
  <c r="O26" i="2"/>
  <c r="P26" i="2" s="1"/>
  <c r="L26" i="2"/>
  <c r="M26" i="2" s="1"/>
  <c r="I26" i="2"/>
  <c r="J26" i="2" s="1"/>
  <c r="F26" i="2"/>
  <c r="G26" i="2" s="1"/>
  <c r="C26" i="2"/>
  <c r="D26" i="2" s="1"/>
  <c r="O25" i="2"/>
  <c r="P25" i="2" s="1"/>
  <c r="L25" i="2"/>
  <c r="M25" i="2" s="1"/>
  <c r="I25" i="2"/>
  <c r="J25" i="2" s="1"/>
  <c r="F25" i="2"/>
  <c r="G25" i="2" s="1"/>
  <c r="C25" i="2"/>
  <c r="D25" i="2" s="1"/>
  <c r="O24" i="2"/>
  <c r="P24" i="2" s="1"/>
  <c r="L24" i="2"/>
  <c r="M24" i="2" s="1"/>
  <c r="I24" i="2"/>
  <c r="J24" i="2" s="1"/>
  <c r="F24" i="2"/>
  <c r="G24" i="2" s="1"/>
  <c r="C24" i="2"/>
  <c r="D24" i="2" s="1"/>
  <c r="O23" i="2"/>
  <c r="P23" i="2" s="1"/>
  <c r="L23" i="2"/>
  <c r="M23" i="2" s="1"/>
  <c r="I23" i="2"/>
  <c r="J23" i="2" s="1"/>
  <c r="F23" i="2"/>
  <c r="G23" i="2" s="1"/>
  <c r="C23" i="2"/>
  <c r="D23" i="2" s="1"/>
  <c r="O22" i="2"/>
  <c r="P22" i="2" s="1"/>
  <c r="L22" i="2"/>
  <c r="M22" i="2" s="1"/>
  <c r="I22" i="2"/>
  <c r="J22" i="2" s="1"/>
  <c r="F22" i="2"/>
  <c r="G22" i="2" s="1"/>
  <c r="C22" i="2"/>
  <c r="D22" i="2" s="1"/>
  <c r="O21" i="2"/>
  <c r="P21" i="2" s="1"/>
  <c r="L21" i="2"/>
  <c r="M21" i="2" s="1"/>
  <c r="I21" i="2"/>
  <c r="J21" i="2" s="1"/>
  <c r="F21" i="2"/>
  <c r="G21" i="2" s="1"/>
  <c r="C21" i="2"/>
  <c r="D21" i="2" s="1"/>
  <c r="O20" i="2"/>
  <c r="P20" i="2" s="1"/>
  <c r="L20" i="2"/>
  <c r="M20" i="2" s="1"/>
  <c r="I20" i="2"/>
  <c r="J20" i="2" s="1"/>
  <c r="F20" i="2"/>
  <c r="G20" i="2" s="1"/>
  <c r="C20" i="2"/>
  <c r="D20" i="2" s="1"/>
  <c r="O19" i="2"/>
  <c r="P19" i="2" s="1"/>
  <c r="L19" i="2"/>
  <c r="M19" i="2" s="1"/>
  <c r="I19" i="2"/>
  <c r="J19" i="2" s="1"/>
  <c r="F19" i="2"/>
  <c r="G19" i="2" s="1"/>
  <c r="C19" i="2"/>
  <c r="D19" i="2" s="1"/>
  <c r="T30" i="2"/>
  <c r="O18" i="2"/>
  <c r="P18" i="2" s="1"/>
  <c r="L18" i="2"/>
  <c r="M18" i="2" s="1"/>
  <c r="I18" i="2"/>
  <c r="J18" i="2" s="1"/>
  <c r="F18" i="2"/>
  <c r="G18" i="2" s="1"/>
  <c r="C18" i="2"/>
  <c r="D18" i="2" s="1"/>
  <c r="O17" i="2"/>
  <c r="P17" i="2" s="1"/>
  <c r="L17" i="2"/>
  <c r="M17" i="2" s="1"/>
  <c r="I17" i="2"/>
  <c r="J17" i="2" s="1"/>
  <c r="F17" i="2"/>
  <c r="G17" i="2" s="1"/>
  <c r="C17" i="2"/>
  <c r="D17" i="2" s="1"/>
  <c r="O16" i="2"/>
  <c r="P16" i="2" s="1"/>
  <c r="L16" i="2"/>
  <c r="M16" i="2" s="1"/>
  <c r="I16" i="2"/>
  <c r="J16" i="2" s="1"/>
  <c r="F16" i="2"/>
  <c r="G16" i="2" s="1"/>
  <c r="C16" i="2"/>
  <c r="D16" i="2" s="1"/>
  <c r="O15" i="2"/>
  <c r="P15" i="2" s="1"/>
  <c r="L15" i="2"/>
  <c r="M15" i="2" s="1"/>
  <c r="I15" i="2"/>
  <c r="J15" i="2" s="1"/>
  <c r="F15" i="2"/>
  <c r="G15" i="2" s="1"/>
  <c r="C15" i="2"/>
  <c r="D15" i="2" s="1"/>
  <c r="O14" i="2"/>
  <c r="P14" i="2" s="1"/>
  <c r="L14" i="2"/>
  <c r="M14" i="2" s="1"/>
  <c r="I14" i="2"/>
  <c r="J14" i="2" s="1"/>
  <c r="F14" i="2"/>
  <c r="G14" i="2" s="1"/>
  <c r="C14" i="2"/>
  <c r="D14" i="2" s="1"/>
  <c r="O13" i="2"/>
  <c r="P13" i="2" s="1"/>
  <c r="L13" i="2"/>
  <c r="M13" i="2" s="1"/>
  <c r="I13" i="2"/>
  <c r="J13" i="2" s="1"/>
  <c r="F13" i="2"/>
  <c r="G13" i="2" s="1"/>
  <c r="C13" i="2"/>
  <c r="D13" i="2" s="1"/>
  <c r="O12" i="2"/>
  <c r="P12" i="2" s="1"/>
  <c r="L12" i="2"/>
  <c r="M12" i="2" s="1"/>
  <c r="I12" i="2"/>
  <c r="J12" i="2" s="1"/>
  <c r="F12" i="2"/>
  <c r="G12" i="2" s="1"/>
  <c r="C12" i="2"/>
  <c r="D12" i="2" s="1"/>
  <c r="O11" i="2"/>
  <c r="P11" i="2" s="1"/>
  <c r="L11" i="2"/>
  <c r="M11" i="2" s="1"/>
  <c r="I11" i="2"/>
  <c r="J11" i="2" s="1"/>
  <c r="F11" i="2"/>
  <c r="G11" i="2" s="1"/>
  <c r="C11" i="2"/>
  <c r="D11" i="2" s="1"/>
  <c r="O10" i="2"/>
  <c r="P10" i="2" s="1"/>
  <c r="L10" i="2"/>
  <c r="M10" i="2" s="1"/>
  <c r="I10" i="2"/>
  <c r="J10" i="2" s="1"/>
  <c r="F10" i="2"/>
  <c r="G10" i="2" s="1"/>
  <c r="C10" i="2"/>
  <c r="D10" i="2" s="1"/>
  <c r="O9" i="2"/>
  <c r="P9" i="2" s="1"/>
  <c r="L9" i="2"/>
  <c r="M9" i="2" s="1"/>
  <c r="I9" i="2"/>
  <c r="J9" i="2" s="1"/>
  <c r="F9" i="2"/>
  <c r="G9" i="2" s="1"/>
  <c r="C9" i="2"/>
  <c r="D9" i="2" s="1"/>
  <c r="O8" i="2"/>
  <c r="P8" i="2" s="1"/>
  <c r="K30" i="2"/>
  <c r="I8" i="2"/>
  <c r="J8" i="2" s="1"/>
  <c r="F8" i="2"/>
  <c r="G8" i="2" s="1"/>
  <c r="C8" i="2"/>
  <c r="D8" i="2" s="1"/>
  <c r="N30" i="2"/>
  <c r="L7" i="2"/>
  <c r="M7" i="2" s="1"/>
  <c r="I7" i="2"/>
  <c r="J7" i="2" s="1"/>
  <c r="F7" i="2"/>
  <c r="G7" i="2" s="1"/>
  <c r="C7" i="2"/>
  <c r="D7" i="2" s="1"/>
  <c r="O6" i="2"/>
  <c r="P6" i="2" s="1"/>
  <c r="L6" i="2"/>
  <c r="M6" i="2" s="1"/>
  <c r="I6" i="2"/>
  <c r="J6" i="2" s="1"/>
  <c r="F6" i="2"/>
  <c r="G6" i="2" s="1"/>
  <c r="C6" i="2"/>
  <c r="D6" i="2" s="1"/>
  <c r="Q30" i="2"/>
  <c r="O5" i="2"/>
  <c r="P5" i="2" s="1"/>
  <c r="L5" i="2"/>
  <c r="M5" i="2" s="1"/>
  <c r="I5" i="2"/>
  <c r="J5" i="2" s="1"/>
  <c r="F5" i="2"/>
  <c r="G5" i="2" s="1"/>
  <c r="C5" i="2"/>
  <c r="D5" i="2" s="1"/>
  <c r="O4" i="2"/>
  <c r="P4" i="2" s="1"/>
  <c r="L4" i="2"/>
  <c r="M4" i="2" s="1"/>
  <c r="I4" i="2"/>
  <c r="J4" i="2" s="1"/>
  <c r="F4" i="2"/>
  <c r="G4" i="2" s="1"/>
  <c r="C4" i="2"/>
  <c r="D4" i="2" s="1"/>
  <c r="R30" i="2"/>
  <c r="O3" i="2"/>
  <c r="P3" i="2" s="1"/>
  <c r="L3" i="2"/>
  <c r="M3" i="2" s="1"/>
  <c r="I3" i="2"/>
  <c r="J3" i="2" s="1"/>
  <c r="E30" i="2"/>
  <c r="F30" i="2" s="1"/>
  <c r="G30" i="2" s="1"/>
  <c r="C3" i="2"/>
  <c r="D3" i="2" s="1"/>
  <c r="O30" i="2" l="1"/>
  <c r="P30" i="2" s="1"/>
  <c r="L30" i="2"/>
  <c r="M30" i="2" s="1"/>
  <c r="U30" i="2"/>
  <c r="L8" i="2"/>
  <c r="M8" i="2" s="1"/>
  <c r="F3" i="2"/>
  <c r="G3" i="2" s="1"/>
  <c r="B30" i="2"/>
  <c r="C30" i="2" s="1"/>
  <c r="D30" i="2" s="1"/>
  <c r="O7" i="2"/>
  <c r="P7" i="2" s="1"/>
  <c r="H30" i="2"/>
  <c r="T31" i="1"/>
  <c r="N31" i="1"/>
  <c r="H31" i="1"/>
  <c r="U32" i="1"/>
  <c r="T32" i="1"/>
  <c r="Q32" i="1"/>
  <c r="N32" i="1"/>
  <c r="K32" i="1"/>
  <c r="H32" i="1"/>
  <c r="E32" i="1"/>
  <c r="B32" i="1"/>
  <c r="U29" i="1"/>
  <c r="K29" i="1"/>
  <c r="H29" i="1"/>
  <c r="B29" i="1"/>
  <c r="I30" i="2" l="1"/>
  <c r="J30" i="2" s="1"/>
  <c r="U28" i="1"/>
  <c r="R28" i="1"/>
  <c r="K28" i="1"/>
  <c r="H28" i="1"/>
  <c r="E28" i="1"/>
  <c r="B28" i="1"/>
  <c r="E27" i="1"/>
  <c r="R27" i="1"/>
  <c r="N27" i="1"/>
  <c r="K27" i="1"/>
  <c r="H27" i="1"/>
  <c r="B27" i="1"/>
  <c r="U26" i="1" l="1"/>
  <c r="R26" i="1"/>
  <c r="N26" i="1"/>
  <c r="K26" i="1"/>
  <c r="H26" i="1"/>
  <c r="E26" i="1"/>
  <c r="B26" i="1"/>
  <c r="U25" i="1"/>
  <c r="R25" i="1"/>
  <c r="K25" i="1"/>
  <c r="H25" i="1"/>
  <c r="E25" i="1"/>
  <c r="B25" i="1"/>
  <c r="U24" i="1" l="1"/>
  <c r="R24" i="1"/>
  <c r="Q24" i="1"/>
  <c r="N24" i="1"/>
  <c r="K24" i="1"/>
  <c r="H24" i="1"/>
  <c r="E24" i="1"/>
  <c r="B24" i="1"/>
  <c r="R23" i="1"/>
  <c r="Q23" i="1"/>
  <c r="K23" i="1"/>
  <c r="H23" i="1"/>
  <c r="E23" i="1"/>
  <c r="B23" i="1"/>
  <c r="R22" i="1" l="1"/>
  <c r="E22" i="1"/>
  <c r="B22" i="1"/>
  <c r="U20" i="1" l="1"/>
  <c r="R20" i="1"/>
  <c r="N20" i="1"/>
  <c r="K20" i="1"/>
  <c r="H20" i="1"/>
  <c r="E20" i="1"/>
  <c r="B20" i="1"/>
  <c r="R19" i="1" l="1"/>
  <c r="E19" i="1" l="1"/>
  <c r="B19" i="1"/>
  <c r="U18" i="1"/>
  <c r="T18" i="1"/>
  <c r="R18" i="1"/>
  <c r="Q18" i="1"/>
  <c r="N18" i="1"/>
  <c r="K18" i="1"/>
  <c r="H18" i="1"/>
  <c r="E18" i="1"/>
  <c r="B18" i="1"/>
  <c r="K17" i="1"/>
  <c r="U17" i="1"/>
  <c r="R17" i="1"/>
  <c r="N17" i="1"/>
  <c r="H17" i="1"/>
  <c r="E17" i="1"/>
  <c r="B17" i="1"/>
  <c r="R16" i="1" l="1"/>
  <c r="K16" i="1"/>
  <c r="H16" i="1"/>
  <c r="E16" i="1"/>
  <c r="B16" i="1"/>
  <c r="E15" i="1"/>
  <c r="B15" i="1"/>
  <c r="R14" i="1" l="1"/>
  <c r="K14" i="1"/>
  <c r="H14" i="1"/>
  <c r="E14" i="1"/>
  <c r="B14" i="1"/>
  <c r="R13" i="1" l="1"/>
  <c r="H13" i="1"/>
  <c r="E13" i="1"/>
  <c r="B13" i="1"/>
  <c r="U12" i="1"/>
  <c r="R12" i="1"/>
  <c r="K12" i="1"/>
  <c r="H12" i="1"/>
  <c r="E12" i="1"/>
  <c r="B12" i="1"/>
  <c r="R11" i="1" l="1"/>
  <c r="Q11" i="1"/>
  <c r="N11" i="1"/>
  <c r="K11" i="1"/>
  <c r="H11" i="1"/>
  <c r="E11" i="1"/>
  <c r="B11" i="1"/>
  <c r="R10" i="1"/>
  <c r="Q10" i="1"/>
  <c r="K10" i="1"/>
  <c r="H10" i="1"/>
  <c r="E10" i="1"/>
  <c r="B10" i="1"/>
  <c r="U9" i="1"/>
  <c r="R9" i="1"/>
  <c r="Q9" i="1"/>
  <c r="K9" i="1"/>
  <c r="H9" i="1"/>
  <c r="E9" i="1"/>
  <c r="B9" i="1"/>
  <c r="U8" i="1"/>
  <c r="R8" i="1"/>
  <c r="K8" i="1"/>
  <c r="E8" i="1"/>
  <c r="B8" i="1"/>
  <c r="R7" i="1" l="1"/>
  <c r="Q7" i="1"/>
  <c r="N7" i="1"/>
  <c r="K7" i="1"/>
  <c r="H7" i="1"/>
  <c r="E7" i="1"/>
  <c r="B7" i="1"/>
  <c r="N6" i="1"/>
  <c r="K6" i="1"/>
  <c r="H6" i="1"/>
  <c r="E6" i="1"/>
  <c r="U6" i="1"/>
  <c r="R6" i="1"/>
  <c r="Q6" i="1"/>
  <c r="B6" i="1"/>
  <c r="U5" i="1"/>
  <c r="R5" i="1"/>
  <c r="Q5" i="1"/>
  <c r="N5" i="1"/>
  <c r="K5" i="1"/>
  <c r="H5" i="1"/>
  <c r="E5" i="1"/>
  <c r="B5" i="1"/>
  <c r="R30" i="1" l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M20" i="1"/>
  <c r="M21" i="1"/>
  <c r="M24" i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L21" i="1"/>
  <c r="L22" i="1"/>
  <c r="M22" i="1" s="1"/>
  <c r="L23" i="1"/>
  <c r="M23" i="1" s="1"/>
  <c r="L24" i="1"/>
  <c r="L25" i="1"/>
  <c r="M25" i="1" s="1"/>
  <c r="L26" i="1"/>
  <c r="M26" i="1" s="1"/>
  <c r="L27" i="1"/>
  <c r="M27" i="1" s="1"/>
  <c r="L28" i="1"/>
  <c r="M28" i="1" s="1"/>
  <c r="L29" i="1"/>
  <c r="M29" i="1" s="1"/>
  <c r="J18" i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O3" i="1"/>
  <c r="P3" i="1" s="1"/>
  <c r="K30" i="1"/>
  <c r="K31" i="1" s="1"/>
  <c r="H3" i="1"/>
  <c r="H30" i="1" s="1"/>
  <c r="E30" i="1"/>
  <c r="B30" i="1"/>
  <c r="T30" i="1"/>
  <c r="Q30" i="1"/>
  <c r="N30" i="1"/>
  <c r="R39" i="1" l="1"/>
  <c r="R41" i="1" s="1"/>
  <c r="Q31" i="1"/>
  <c r="T39" i="1"/>
  <c r="T41" i="1" s="1"/>
  <c r="R31" i="1"/>
  <c r="N39" i="1"/>
  <c r="N41" i="1" s="1"/>
  <c r="N42" i="1" s="1"/>
  <c r="E31" i="1"/>
  <c r="B31" i="1"/>
  <c r="L39" i="1"/>
  <c r="L41" i="1" s="1"/>
  <c r="C30" i="1"/>
  <c r="L3" i="1"/>
  <c r="M3" i="1" s="1"/>
  <c r="C3" i="1"/>
  <c r="D3" i="1" s="1"/>
  <c r="F3" i="1"/>
  <c r="G3" i="1" s="1"/>
  <c r="I3" i="1"/>
  <c r="J3" i="1" s="1"/>
  <c r="O30" i="1"/>
  <c r="P30" i="1" s="1"/>
  <c r="T43" i="1" l="1"/>
  <c r="L42" i="1"/>
  <c r="N43" i="1"/>
  <c r="P45" i="1" s="1"/>
  <c r="L30" i="1"/>
  <c r="M30" i="1" s="1"/>
  <c r="D30" i="1"/>
  <c r="I30" i="1"/>
  <c r="J30" i="1" s="1"/>
  <c r="F30" i="1"/>
  <c r="G30" i="1" s="1"/>
</calcChain>
</file>

<file path=xl/sharedStrings.xml><?xml version="1.0" encoding="utf-8"?>
<sst xmlns="http://schemas.openxmlformats.org/spreadsheetml/2006/main" count="50" uniqueCount="30">
  <si>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</si>
  <si>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</si>
  <si>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</si>
  <si>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</si>
  <si>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</si>
  <si>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</si>
  <si>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</si>
  <si>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</si>
  <si>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</si>
  <si>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</si>
  <si>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</si>
  <si>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CARİ 900 TL</t>
  </si>
  <si>
    <t>2380 TL SİSTEM VE UYUMSOFT FAZLA 
FAT NAKİT FATURA ÖKC EKSİK</t>
  </si>
  <si>
    <t>2381 TL SİSTEM VE UYUMSOFT EKSİK 
FAT NAKİT FATURA ÖKC FAZLA</t>
  </si>
  <si>
    <t>650 TL KDVLERDE FAZLA VAR</t>
  </si>
  <si>
    <t>DEVİR</t>
  </si>
  <si>
    <t>Z NO 1896</t>
  </si>
  <si>
    <t>FARK</t>
  </si>
  <si>
    <t xml:space="preserve">1000 TL FAT DİĞER GÖRÜNÜYOR ZDE </t>
  </si>
  <si>
    <t>QR ÖDEME</t>
  </si>
  <si>
    <t>ÖKC 1</t>
  </si>
  <si>
    <t>ÖKC 2</t>
  </si>
  <si>
    <t>YÜZDE 10</t>
  </si>
  <si>
    <t>YÜZDE 20</t>
  </si>
  <si>
    <t>FTLI</t>
  </si>
  <si>
    <t>KASA</t>
  </si>
  <si>
    <t>KK</t>
  </si>
  <si>
    <t>NEVİN</t>
  </si>
  <si>
    <t>GİB</t>
  </si>
  <si>
    <t>(aralık 2024 den devir gelen)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</si>
</sst>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0" fillId="0" borderId="3" xfId="0" applyNumberFormat="1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4" fontId="0" fillId="2" borderId="3" xfId="0" applyNumberFormat="1" applyFill="1" applyBorder="1"/>
    <xf numFmtId="0" fontId="0" fillId="0" borderId="1" xfId="0" applyBorder="1" applyAlignment="1">
      <alignment horizontal="center" wrapText="1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4" fontId="0" fillId="3" borderId="1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3" xfId="0" applyNumberFormat="1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4" fontId="0" fillId="0" borderId="1" xfId="0" applyNumberFormat="1" applyFont="1" applyFill="1" applyBorder="1"/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5" xfId="0" applyNumberFormat="1" applyBorder="1"/>
    <xf numFmtId="4" fontId="0" fillId="0" borderId="6" xfId="0" applyNumberFormat="1" applyBorder="1"/>
    <xf numFmtId="0" fontId="0" fillId="0" borderId="7" xfId="0" applyBorder="1" applyAlignment="1">
      <alignment horizontal="center"/>
    </xf>
    <xf numFmtId="4" fontId="0" fillId="0" borderId="0" xfId="0" applyNumberFormat="1" applyBorder="1"/>
    <xf numFmtId="4" fontId="0" fillId="0" borderId="8" xfId="0" applyNumberFormat="1" applyBorder="1"/>
    <xf numFmtId="0" fontId="0" fillId="0" borderId="0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1" fillId="0" borderId="7" xfId="0" applyFont="1" applyBorder="1" applyAlignment="1">
      <alignment horizontal="center"/>
    </xf>
    <xf numFmtId="4" fontId="1" fillId="0" borderId="0" xfId="0" applyNumberFormat="1" applyFont="1" applyBorder="1"/>
    <xf numFmtId="4" fontId="1" fillId="0" borderId="8" xfId="0" applyNumberFormat="1" applyFont="1" applyBorder="1"/>
    <xf numFmtId="4" fontId="2" fillId="0" borderId="5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tabSelected="1" topLeftCell="A19" workbookViewId="0">
      <selection activeCell="A43" sqref="A43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4" width="11.5546875" bestFit="1" customWidth="1"/>
    <col min="5" max="5" width="15.109375" bestFit="1" customWidth="1"/>
    <col min="6" max="7" width="10" bestFit="1" customWidth="1"/>
    <col min="8" max="8" width="10.33203125" customWidth="1"/>
    <col min="9" max="9" width="11.5546875" bestFit="1" customWidth="1"/>
    <col min="10" max="10" width="8" bestFit="1" customWidth="1"/>
    <col min="11" max="11" width="10.109375" bestFit="1" customWidth="1"/>
    <col min="12" max="12" width="11.5546875" bestFit="1" customWidth="1"/>
    <col min="13" max="13" width="9" bestFit="1" customWidth="1"/>
    <col min="14" max="14" width="11.5546875" bestFit="1" customWidth="1"/>
    <col min="15" max="15" width="9" bestFit="1" customWidth="1"/>
    <col min="16" max="16" width="10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/>
      <c r="T1" s="55" t="s">
        <v>8</v>
      </c>
      <c r="U1" s="56"/>
      <c r="V1" s="13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39"/>
      <c r="T2" s="12" t="s">
        <v>6</v>
      </c>
      <c r="U2" s="14" t="s">
        <v>9</v>
      </c>
      <c r="V2" s="3"/>
    </row>
    <row r="3" spans="1:22" x14ac:dyDescent="0.3">
      <c r="A3" s="8">
        <v>45658</v>
      </c>
      <c r="B3" s="11">
        <f>36145</f>
        <v>36145</v>
      </c>
      <c r="C3" s="9">
        <f>B3/1.1</f>
        <v>32859.090909090904</v>
      </c>
      <c r="D3" s="9">
        <f>C3*0.1</f>
        <v>3285.9090909090905</v>
      </c>
      <c r="E3" s="11">
        <f>7760+1010+5240</f>
        <v>14010</v>
      </c>
      <c r="F3" s="9">
        <f>E3/1.2</f>
        <v>11675</v>
      </c>
      <c r="G3" s="9">
        <f>F3*0.2</f>
        <v>2335</v>
      </c>
      <c r="H3" s="11">
        <f>1385+75</f>
        <v>1460</v>
      </c>
      <c r="I3" s="9">
        <f>H3/1.1</f>
        <v>1327.2727272727273</v>
      </c>
      <c r="J3" s="9">
        <f>I3*0.1</f>
        <v>132.72727272727272</v>
      </c>
      <c r="K3" s="11">
        <f>2800+400+800</f>
        <v>4000</v>
      </c>
      <c r="L3" s="9">
        <f>K3/1.2</f>
        <v>3333.3333333333335</v>
      </c>
      <c r="M3" s="9">
        <f>L3*0.2</f>
        <v>666.66666666666674</v>
      </c>
      <c r="N3" s="9">
        <v>0</v>
      </c>
      <c r="O3" s="9">
        <f>N3/1.2</f>
        <v>0</v>
      </c>
      <c r="P3" s="9">
        <f>O3*0.2</f>
        <v>0</v>
      </c>
      <c r="Q3" s="11">
        <v>13630</v>
      </c>
      <c r="R3" s="11">
        <f>34460+1485+6040</f>
        <v>41985</v>
      </c>
      <c r="S3" s="11"/>
      <c r="T3" s="9">
        <v>0</v>
      </c>
      <c r="U3" s="18">
        <v>9975</v>
      </c>
      <c r="V3" s="3"/>
    </row>
    <row r="4" spans="1:22" x14ac:dyDescent="0.3">
      <c r="A4" s="8">
        <v>45659</v>
      </c>
      <c r="B4" s="11">
        <v>26915</v>
      </c>
      <c r="C4" s="9">
        <f t="shared" ref="C4:C29" si="0">B4/1.1</f>
        <v>24468.181818181816</v>
      </c>
      <c r="D4" s="9">
        <f t="shared" ref="D4:D29" si="1">C4*0.1</f>
        <v>2446.8181818181815</v>
      </c>
      <c r="E4" s="11">
        <v>7530</v>
      </c>
      <c r="F4" s="9">
        <f t="shared" ref="F4:F29" si="2">E4/1.2</f>
        <v>6275</v>
      </c>
      <c r="G4" s="9">
        <f t="shared" ref="G4:G29" si="3">F4*0.2</f>
        <v>1255</v>
      </c>
      <c r="H4" s="11">
        <v>1045</v>
      </c>
      <c r="I4" s="9">
        <f t="shared" ref="I4:I29" si="4">H4/1.1</f>
        <v>949.99999999999989</v>
      </c>
      <c r="J4" s="9">
        <f t="shared" ref="J4:J29" si="5">I4*0.1</f>
        <v>95</v>
      </c>
      <c r="K4" s="11">
        <v>2000</v>
      </c>
      <c r="L4" s="9">
        <f t="shared" ref="L4:L29" si="6">K4/1.2</f>
        <v>1666.6666666666667</v>
      </c>
      <c r="M4" s="9">
        <f t="shared" ref="M4:M29" si="7">L4*0.2</f>
        <v>333.33333333333337</v>
      </c>
      <c r="N4" s="9">
        <v>0</v>
      </c>
      <c r="O4" s="9">
        <f t="shared" ref="O4:O29" si="8">N4/1.2</f>
        <v>0</v>
      </c>
      <c r="P4" s="9">
        <f t="shared" ref="P4:P29" si="9">O4*0.2</f>
        <v>0</v>
      </c>
      <c r="Q4" s="11">
        <v>3650</v>
      </c>
      <c r="R4" s="11">
        <v>33840</v>
      </c>
      <c r="S4" s="11"/>
      <c r="T4" s="9">
        <v>0</v>
      </c>
      <c r="U4" s="15">
        <v>0</v>
      </c>
      <c r="V4" s="3"/>
    </row>
    <row r="5" spans="1:22" x14ac:dyDescent="0.3">
      <c r="A5" s="8">
        <v>45660</v>
      </c>
      <c r="B5" s="11">
        <f>28320+9000</f>
        <v>37320</v>
      </c>
      <c r="C5" s="9">
        <f t="shared" si="0"/>
        <v>33927.272727272728</v>
      </c>
      <c r="D5" s="9">
        <f t="shared" si="1"/>
        <v>3392.727272727273</v>
      </c>
      <c r="E5" s="11">
        <f>8470+1300+970+13060</f>
        <v>23800</v>
      </c>
      <c r="F5" s="9">
        <f t="shared" si="2"/>
        <v>19833.333333333336</v>
      </c>
      <c r="G5" s="9">
        <f t="shared" si="3"/>
        <v>3966.6666666666674</v>
      </c>
      <c r="H5" s="11">
        <f>1130+270+150</f>
        <v>1550</v>
      </c>
      <c r="I5" s="9">
        <f t="shared" si="4"/>
        <v>1409.090909090909</v>
      </c>
      <c r="J5" s="9">
        <f t="shared" si="5"/>
        <v>140.90909090909091</v>
      </c>
      <c r="K5" s="11">
        <f>2200+300+400+2600</f>
        <v>5500</v>
      </c>
      <c r="L5" s="9">
        <f t="shared" si="6"/>
        <v>4583.3333333333339</v>
      </c>
      <c r="M5" s="9">
        <f t="shared" si="7"/>
        <v>916.66666666666686</v>
      </c>
      <c r="N5" s="11">
        <f>850+1000</f>
        <v>1850</v>
      </c>
      <c r="O5" s="9">
        <f t="shared" si="8"/>
        <v>1541.6666666666667</v>
      </c>
      <c r="P5" s="9">
        <f t="shared" si="9"/>
        <v>308.33333333333337</v>
      </c>
      <c r="Q5" s="11">
        <f>8115</f>
        <v>8115</v>
      </c>
      <c r="R5" s="11">
        <f>32855+11870+1370+15810</f>
        <v>61905</v>
      </c>
      <c r="S5" s="11"/>
      <c r="T5" s="9">
        <v>0</v>
      </c>
      <c r="U5" s="18">
        <f>19620+20000</f>
        <v>39620</v>
      </c>
      <c r="V5" s="3"/>
    </row>
    <row r="6" spans="1:22" x14ac:dyDescent="0.3">
      <c r="A6" s="8">
        <v>45661</v>
      </c>
      <c r="B6" s="11">
        <f>41169.31+3630.57+4050</f>
        <v>48849.88</v>
      </c>
      <c r="C6" s="9">
        <f t="shared" si="0"/>
        <v>44408.981818181812</v>
      </c>
      <c r="D6" s="9">
        <f t="shared" si="1"/>
        <v>4440.898181818181</v>
      </c>
      <c r="E6" s="11">
        <f>12690+1178.35+10600+1795+8675</f>
        <v>34938.35</v>
      </c>
      <c r="F6" s="9">
        <f t="shared" si="2"/>
        <v>29115.291666666668</v>
      </c>
      <c r="G6" s="9">
        <f t="shared" si="3"/>
        <v>5823.0583333333343</v>
      </c>
      <c r="H6" s="11">
        <f>837.67+925+225</f>
        <v>1987.67</v>
      </c>
      <c r="I6" s="9">
        <f t="shared" si="4"/>
        <v>1806.9727272727273</v>
      </c>
      <c r="J6" s="9">
        <f t="shared" si="5"/>
        <v>180.69727272727275</v>
      </c>
      <c r="K6" s="11">
        <f>5058.52+191.08+1600+600+600</f>
        <v>8049.6</v>
      </c>
      <c r="L6" s="9">
        <f t="shared" si="6"/>
        <v>6708.0000000000009</v>
      </c>
      <c r="M6" s="9">
        <f t="shared" si="7"/>
        <v>1341.6000000000004</v>
      </c>
      <c r="N6" s="11">
        <f>460+200</f>
        <v>660</v>
      </c>
      <c r="O6" s="9">
        <f t="shared" si="8"/>
        <v>550</v>
      </c>
      <c r="P6" s="9">
        <f t="shared" si="9"/>
        <v>110</v>
      </c>
      <c r="Q6" s="11">
        <f>585</f>
        <v>585</v>
      </c>
      <c r="R6" s="11">
        <f>59630.5+5000+13125+6445+9700</f>
        <v>93900.5</v>
      </c>
      <c r="S6" s="11"/>
      <c r="T6" s="11">
        <v>1600</v>
      </c>
      <c r="U6" s="18">
        <f>9500+7485+14970+39550</f>
        <v>71505</v>
      </c>
      <c r="V6" s="3"/>
    </row>
    <row r="7" spans="1:22" x14ac:dyDescent="0.3">
      <c r="A7" s="8">
        <v>45662</v>
      </c>
      <c r="B7" s="11">
        <f>86322.27</f>
        <v>86322.27</v>
      </c>
      <c r="C7" s="9">
        <f t="shared" si="0"/>
        <v>78474.790909090909</v>
      </c>
      <c r="D7" s="9">
        <f t="shared" si="1"/>
        <v>7847.4790909090916</v>
      </c>
      <c r="E7" s="11">
        <f>5712.36+1250</f>
        <v>6962.36</v>
      </c>
      <c r="F7" s="9">
        <f t="shared" si="2"/>
        <v>5801.9666666666662</v>
      </c>
      <c r="G7" s="9">
        <f t="shared" si="3"/>
        <v>1160.3933333333332</v>
      </c>
      <c r="H7" s="11">
        <f>6051.96+2125</f>
        <v>8176.96</v>
      </c>
      <c r="I7" s="9">
        <f t="shared" si="4"/>
        <v>7433.5999999999995</v>
      </c>
      <c r="J7" s="9">
        <f t="shared" si="5"/>
        <v>743.36</v>
      </c>
      <c r="K7" s="11">
        <f>3838.4+1400</f>
        <v>5238.3999999999996</v>
      </c>
      <c r="L7" s="9">
        <f t="shared" si="6"/>
        <v>4365.333333333333</v>
      </c>
      <c r="M7" s="9">
        <f t="shared" si="7"/>
        <v>873.06666666666661</v>
      </c>
      <c r="N7" s="11">
        <f>600+1050</f>
        <v>1650</v>
      </c>
      <c r="O7" s="9">
        <f t="shared" si="8"/>
        <v>1375</v>
      </c>
      <c r="P7" s="9">
        <f t="shared" si="9"/>
        <v>275</v>
      </c>
      <c r="Q7" s="11">
        <f>17010+2550</f>
        <v>19560</v>
      </c>
      <c r="R7" s="11">
        <f>85514.99+3275</f>
        <v>88789.99</v>
      </c>
      <c r="S7" s="11"/>
      <c r="T7" s="9">
        <v>0</v>
      </c>
      <c r="U7" s="18">
        <v>23685</v>
      </c>
      <c r="V7" s="16" t="s">
        <v>11</v>
      </c>
    </row>
    <row r="8" spans="1:22" x14ac:dyDescent="0.3">
      <c r="A8" s="8">
        <v>45664</v>
      </c>
      <c r="B8" s="11">
        <f>6035+9830</f>
        <v>15865</v>
      </c>
      <c r="C8" s="9">
        <f t="shared" si="0"/>
        <v>14422.727272727272</v>
      </c>
      <c r="D8" s="9">
        <f t="shared" si="1"/>
        <v>1442.2727272727273</v>
      </c>
      <c r="E8" s="11">
        <f>7900</f>
        <v>7900</v>
      </c>
      <c r="F8" s="9">
        <f t="shared" si="2"/>
        <v>6583.3333333333339</v>
      </c>
      <c r="G8" s="9">
        <f t="shared" si="3"/>
        <v>1316.666666666667</v>
      </c>
      <c r="H8" s="11">
        <v>1210</v>
      </c>
      <c r="I8" s="9">
        <f t="shared" si="4"/>
        <v>1100</v>
      </c>
      <c r="J8" s="9">
        <f t="shared" si="5"/>
        <v>110</v>
      </c>
      <c r="K8" s="11">
        <f>900+900</f>
        <v>1800</v>
      </c>
      <c r="L8" s="9">
        <f t="shared" si="6"/>
        <v>1500</v>
      </c>
      <c r="M8" s="9">
        <f t="shared" si="7"/>
        <v>300</v>
      </c>
      <c r="N8" s="9">
        <v>0</v>
      </c>
      <c r="O8" s="9">
        <f t="shared" si="8"/>
        <v>0</v>
      </c>
      <c r="P8" s="9">
        <f t="shared" si="9"/>
        <v>0</v>
      </c>
      <c r="Q8" s="11">
        <v>2265</v>
      </c>
      <c r="R8" s="11">
        <f>12570+11940</f>
        <v>24510</v>
      </c>
      <c r="S8" s="11"/>
      <c r="T8" s="9">
        <v>0</v>
      </c>
      <c r="U8" s="18">
        <f>7410+5620</f>
        <v>13030</v>
      </c>
      <c r="V8" s="3"/>
    </row>
    <row r="9" spans="1:22" x14ac:dyDescent="0.3">
      <c r="A9" s="8">
        <v>45665</v>
      </c>
      <c r="B9" s="11">
        <f>28600+7845+3915</f>
        <v>40360</v>
      </c>
      <c r="C9" s="9">
        <f t="shared" si="0"/>
        <v>36690.909090909088</v>
      </c>
      <c r="D9" s="9">
        <f t="shared" si="1"/>
        <v>3669.090909090909</v>
      </c>
      <c r="E9" s="11">
        <f>14670+4200+3190+2750</f>
        <v>24810</v>
      </c>
      <c r="F9" s="9">
        <f t="shared" si="2"/>
        <v>20675</v>
      </c>
      <c r="G9" s="9">
        <f t="shared" si="3"/>
        <v>4135</v>
      </c>
      <c r="H9" s="11">
        <f>285</f>
        <v>285</v>
      </c>
      <c r="I9" s="9">
        <f t="shared" si="4"/>
        <v>259.09090909090907</v>
      </c>
      <c r="J9" s="9">
        <f t="shared" si="5"/>
        <v>25.909090909090907</v>
      </c>
      <c r="K9" s="11">
        <f>3000+1400+900+900</f>
        <v>6200</v>
      </c>
      <c r="L9" s="9">
        <f t="shared" si="6"/>
        <v>5166.666666666667</v>
      </c>
      <c r="M9" s="9">
        <f t="shared" si="7"/>
        <v>1033.3333333333335</v>
      </c>
      <c r="N9" s="11">
        <v>500</v>
      </c>
      <c r="O9" s="9">
        <f t="shared" si="8"/>
        <v>416.66666666666669</v>
      </c>
      <c r="P9" s="9">
        <f t="shared" si="9"/>
        <v>83.333333333333343</v>
      </c>
      <c r="Q9" s="11">
        <f>800</f>
        <v>800</v>
      </c>
      <c r="R9" s="17">
        <f>46555+4800+12435+7565</f>
        <v>71355</v>
      </c>
      <c r="S9" s="17"/>
      <c r="T9" s="9">
        <v>0</v>
      </c>
      <c r="U9" s="11">
        <f>45245+13845</f>
        <v>59090</v>
      </c>
      <c r="V9" s="3"/>
    </row>
    <row r="10" spans="1:22" x14ac:dyDescent="0.3">
      <c r="A10" s="8">
        <v>45666</v>
      </c>
      <c r="B10" s="11">
        <f>33595+3305</f>
        <v>36900</v>
      </c>
      <c r="C10" s="9">
        <f t="shared" si="0"/>
        <v>33545.454545454544</v>
      </c>
      <c r="D10" s="9">
        <f t="shared" si="1"/>
        <v>3354.5454545454545</v>
      </c>
      <c r="E10" s="11">
        <f>13970+1850</f>
        <v>15820</v>
      </c>
      <c r="F10" s="9">
        <f t="shared" si="2"/>
        <v>13183.333333333334</v>
      </c>
      <c r="G10" s="9">
        <f t="shared" si="3"/>
        <v>2636.666666666667</v>
      </c>
      <c r="H10" s="11">
        <f>1935+295</f>
        <v>2230</v>
      </c>
      <c r="I10" s="9">
        <f t="shared" si="4"/>
        <v>2027.272727272727</v>
      </c>
      <c r="J10" s="9">
        <f t="shared" si="5"/>
        <v>202.72727272727272</v>
      </c>
      <c r="K10" s="11">
        <f>4350+900</f>
        <v>5250</v>
      </c>
      <c r="L10" s="9">
        <f t="shared" si="6"/>
        <v>4375</v>
      </c>
      <c r="M10" s="9">
        <f t="shared" si="7"/>
        <v>875</v>
      </c>
      <c r="N10" s="11">
        <v>1000</v>
      </c>
      <c r="O10" s="9">
        <f t="shared" si="8"/>
        <v>833.33333333333337</v>
      </c>
      <c r="P10" s="9">
        <f t="shared" si="9"/>
        <v>166.66666666666669</v>
      </c>
      <c r="Q10" s="11">
        <f>3775+3900</f>
        <v>7675</v>
      </c>
      <c r="R10" s="11">
        <f>51075+2450</f>
        <v>53525</v>
      </c>
      <c r="S10" s="11"/>
      <c r="T10" s="9">
        <v>0</v>
      </c>
      <c r="U10" s="18">
        <v>93972.5</v>
      </c>
      <c r="V10" s="3"/>
    </row>
    <row r="11" spans="1:22" ht="28.8" x14ac:dyDescent="0.3">
      <c r="A11" s="8">
        <v>45667</v>
      </c>
      <c r="B11" s="11">
        <f>350+33745+4955</f>
        <v>39050</v>
      </c>
      <c r="C11" s="9">
        <f t="shared" si="0"/>
        <v>35500</v>
      </c>
      <c r="D11" s="9">
        <f t="shared" si="1"/>
        <v>3550</v>
      </c>
      <c r="E11" s="11">
        <f>13500+17875+2475+7525+3100+5000</f>
        <v>49475</v>
      </c>
      <c r="F11" s="9">
        <f t="shared" si="2"/>
        <v>41229.166666666672</v>
      </c>
      <c r="G11" s="9">
        <f t="shared" si="3"/>
        <v>8245.8333333333339</v>
      </c>
      <c r="H11" s="11">
        <f>75+1745+1275</f>
        <v>3095</v>
      </c>
      <c r="I11" s="9">
        <f t="shared" si="4"/>
        <v>2813.6363636363635</v>
      </c>
      <c r="J11" s="9">
        <f t="shared" si="5"/>
        <v>281.36363636363637</v>
      </c>
      <c r="K11" s="11">
        <f>1400+3550+800+800+1400+200</f>
        <v>8150</v>
      </c>
      <c r="L11" s="9">
        <f t="shared" si="6"/>
        <v>6791.666666666667</v>
      </c>
      <c r="M11" s="9">
        <f t="shared" si="7"/>
        <v>1358.3333333333335</v>
      </c>
      <c r="N11" s="11">
        <f>800+245+140+1150</f>
        <v>2335</v>
      </c>
      <c r="O11" s="9">
        <f t="shared" si="8"/>
        <v>1945.8333333333335</v>
      </c>
      <c r="P11" s="9">
        <f t="shared" si="9"/>
        <v>389.16666666666674</v>
      </c>
      <c r="Q11" s="11">
        <f>3725</f>
        <v>3725</v>
      </c>
      <c r="R11" s="11">
        <f>16125+57160+3275+4740+10730+6350</f>
        <v>98380</v>
      </c>
      <c r="S11" s="11"/>
      <c r="T11" s="9">
        <v>0</v>
      </c>
      <c r="U11" s="18">
        <v>37625</v>
      </c>
      <c r="V11" s="19" t="s">
        <v>12</v>
      </c>
    </row>
    <row r="12" spans="1:22" ht="28.8" x14ac:dyDescent="0.3">
      <c r="A12" s="8">
        <v>45668</v>
      </c>
      <c r="B12" s="11">
        <f>250+5555+22645+41885</f>
        <v>70335</v>
      </c>
      <c r="C12" s="9">
        <f t="shared" si="0"/>
        <v>63940.909090909088</v>
      </c>
      <c r="D12" s="9">
        <f t="shared" si="1"/>
        <v>6394.090909090909</v>
      </c>
      <c r="E12" s="11">
        <f>7350+9250+18025+11705+12560</f>
        <v>58890</v>
      </c>
      <c r="F12" s="9">
        <f t="shared" si="2"/>
        <v>49075</v>
      </c>
      <c r="G12" s="9">
        <f t="shared" si="3"/>
        <v>9815</v>
      </c>
      <c r="H12" s="11">
        <f>225+75+370+745</f>
        <v>1415</v>
      </c>
      <c r="I12" s="9">
        <f t="shared" si="4"/>
        <v>1286.3636363636363</v>
      </c>
      <c r="J12" s="9">
        <f t="shared" si="5"/>
        <v>128.63636363636363</v>
      </c>
      <c r="K12" s="11">
        <f>1400+1100+3400+2700+4150</f>
        <v>12750</v>
      </c>
      <c r="L12" s="9">
        <f t="shared" si="6"/>
        <v>10625</v>
      </c>
      <c r="M12" s="9">
        <f t="shared" si="7"/>
        <v>2125</v>
      </c>
      <c r="N12" s="11">
        <v>1570</v>
      </c>
      <c r="O12" s="9">
        <f t="shared" si="8"/>
        <v>1308.3333333333335</v>
      </c>
      <c r="P12" s="9">
        <f t="shared" si="9"/>
        <v>261.66666666666669</v>
      </c>
      <c r="Q12" s="11">
        <v>3275</v>
      </c>
      <c r="R12" s="11">
        <f>9225+15905+21500+34145+60910</f>
        <v>141685</v>
      </c>
      <c r="S12" s="11"/>
      <c r="T12" s="20">
        <v>2380</v>
      </c>
      <c r="U12" s="18">
        <f>9350+57390</f>
        <v>66740</v>
      </c>
      <c r="V12" s="19" t="s">
        <v>13</v>
      </c>
    </row>
    <row r="13" spans="1:22" x14ac:dyDescent="0.3">
      <c r="A13" s="8">
        <v>45669</v>
      </c>
      <c r="B13" s="11">
        <f>40600+53905</f>
        <v>94505</v>
      </c>
      <c r="C13" s="9">
        <f t="shared" si="0"/>
        <v>85913.636363636353</v>
      </c>
      <c r="D13" s="9">
        <f t="shared" si="1"/>
        <v>8591.363636363636</v>
      </c>
      <c r="E13" s="11">
        <f>12915</f>
        <v>12915</v>
      </c>
      <c r="F13" s="9">
        <f t="shared" si="2"/>
        <v>10762.5</v>
      </c>
      <c r="G13" s="9">
        <f t="shared" si="3"/>
        <v>2152.5</v>
      </c>
      <c r="H13" s="11">
        <f>830+3425</f>
        <v>4255</v>
      </c>
      <c r="I13" s="9">
        <f t="shared" si="4"/>
        <v>3868.181818181818</v>
      </c>
      <c r="J13" s="9">
        <f t="shared" si="5"/>
        <v>386.81818181818181</v>
      </c>
      <c r="K13" s="11">
        <v>3750</v>
      </c>
      <c r="L13" s="9">
        <f t="shared" si="6"/>
        <v>3125</v>
      </c>
      <c r="M13" s="9">
        <f t="shared" si="7"/>
        <v>625</v>
      </c>
      <c r="N13" s="11">
        <v>420</v>
      </c>
      <c r="O13" s="9">
        <f t="shared" si="8"/>
        <v>350</v>
      </c>
      <c r="P13" s="9">
        <f t="shared" si="9"/>
        <v>70</v>
      </c>
      <c r="Q13" s="11">
        <v>13395</v>
      </c>
      <c r="R13" s="11">
        <f>41430+61020</f>
        <v>102450</v>
      </c>
      <c r="S13" s="11"/>
      <c r="T13" s="9">
        <v>0</v>
      </c>
      <c r="U13" s="18">
        <v>4625</v>
      </c>
      <c r="V13" s="3"/>
    </row>
    <row r="14" spans="1:22" x14ac:dyDescent="0.3">
      <c r="A14" s="8">
        <v>45671</v>
      </c>
      <c r="B14" s="11">
        <f>34885+450+300</f>
        <v>35635</v>
      </c>
      <c r="C14" s="9">
        <f t="shared" si="0"/>
        <v>32395.454545454544</v>
      </c>
      <c r="D14" s="9">
        <f t="shared" si="1"/>
        <v>3239.5454545454545</v>
      </c>
      <c r="E14" s="11">
        <f>14470+1850+5950+6100</f>
        <v>28370</v>
      </c>
      <c r="F14" s="9">
        <f t="shared" si="2"/>
        <v>23641.666666666668</v>
      </c>
      <c r="G14" s="9">
        <f t="shared" si="3"/>
        <v>4728.3333333333339</v>
      </c>
      <c r="H14" s="11">
        <f>650+75</f>
        <v>725</v>
      </c>
      <c r="I14" s="9">
        <f t="shared" si="4"/>
        <v>659.09090909090901</v>
      </c>
      <c r="J14" s="9">
        <f t="shared" si="5"/>
        <v>65.909090909090907</v>
      </c>
      <c r="K14" s="11">
        <f>2700+400+400+800</f>
        <v>4300</v>
      </c>
      <c r="L14" s="9">
        <f t="shared" si="6"/>
        <v>3583.3333333333335</v>
      </c>
      <c r="M14" s="9">
        <f t="shared" si="7"/>
        <v>716.66666666666674</v>
      </c>
      <c r="N14" s="9">
        <v>0</v>
      </c>
      <c r="O14" s="9">
        <f t="shared" si="8"/>
        <v>0</v>
      </c>
      <c r="P14" s="9">
        <f t="shared" si="9"/>
        <v>0</v>
      </c>
      <c r="Q14" s="9">
        <v>0</v>
      </c>
      <c r="R14" s="11">
        <f>52705+2250+6800+7275</f>
        <v>69030</v>
      </c>
      <c r="S14" s="11"/>
      <c r="T14" s="9">
        <v>0</v>
      </c>
      <c r="U14" s="18">
        <v>23180</v>
      </c>
      <c r="V14" s="3"/>
    </row>
    <row r="15" spans="1:22" x14ac:dyDescent="0.3">
      <c r="A15" s="8">
        <v>45672</v>
      </c>
      <c r="B15" s="11">
        <f>27550</f>
        <v>27550</v>
      </c>
      <c r="C15" s="9">
        <f t="shared" si="0"/>
        <v>25045.454545454544</v>
      </c>
      <c r="D15" s="9">
        <f t="shared" si="1"/>
        <v>2504.5454545454545</v>
      </c>
      <c r="E15" s="11">
        <f>12340</f>
        <v>12340</v>
      </c>
      <c r="F15" s="9">
        <f t="shared" si="2"/>
        <v>10283.333333333334</v>
      </c>
      <c r="G15" s="9">
        <f t="shared" si="3"/>
        <v>2056.666666666667</v>
      </c>
      <c r="H15" s="11">
        <v>1130</v>
      </c>
      <c r="I15" s="9">
        <f t="shared" si="4"/>
        <v>1027.2727272727273</v>
      </c>
      <c r="J15" s="9">
        <f t="shared" si="5"/>
        <v>102.72727272727273</v>
      </c>
      <c r="K15" s="11">
        <v>3000</v>
      </c>
      <c r="L15" s="9">
        <f t="shared" si="6"/>
        <v>2500</v>
      </c>
      <c r="M15" s="9">
        <f t="shared" si="7"/>
        <v>500</v>
      </c>
      <c r="N15" s="11">
        <v>705</v>
      </c>
      <c r="O15" s="9">
        <f t="shared" si="8"/>
        <v>587.5</v>
      </c>
      <c r="P15" s="9">
        <f t="shared" si="9"/>
        <v>117.5</v>
      </c>
      <c r="Q15" s="11">
        <v>6525</v>
      </c>
      <c r="R15" s="11">
        <v>38200</v>
      </c>
      <c r="S15" s="11"/>
      <c r="T15" s="9">
        <v>0</v>
      </c>
      <c r="U15" s="18">
        <v>27971</v>
      </c>
      <c r="V15" s="3"/>
    </row>
    <row r="16" spans="1:22" x14ac:dyDescent="0.3">
      <c r="A16" s="8">
        <v>45673</v>
      </c>
      <c r="B16" s="11">
        <f>39540</f>
        <v>39540</v>
      </c>
      <c r="C16" s="9">
        <f t="shared" si="0"/>
        <v>35945.454545454544</v>
      </c>
      <c r="D16" s="9">
        <f t="shared" si="1"/>
        <v>3594.5454545454545</v>
      </c>
      <c r="E16" s="11">
        <f>4725+1950+16095</f>
        <v>22770</v>
      </c>
      <c r="F16" s="9">
        <f t="shared" si="2"/>
        <v>18975</v>
      </c>
      <c r="G16" s="9">
        <f t="shared" si="3"/>
        <v>3795</v>
      </c>
      <c r="H16" s="11">
        <f>135+625+2865</f>
        <v>3625</v>
      </c>
      <c r="I16" s="9">
        <f t="shared" si="4"/>
        <v>3295.454545454545</v>
      </c>
      <c r="J16" s="9">
        <f t="shared" si="5"/>
        <v>329.5454545454545</v>
      </c>
      <c r="K16" s="11">
        <f>800+1000+4200</f>
        <v>6000</v>
      </c>
      <c r="L16" s="9">
        <f t="shared" si="6"/>
        <v>5000</v>
      </c>
      <c r="M16" s="9">
        <f t="shared" si="7"/>
        <v>1000</v>
      </c>
      <c r="N16" s="11">
        <v>2420</v>
      </c>
      <c r="O16" s="9">
        <f t="shared" si="8"/>
        <v>2016.6666666666667</v>
      </c>
      <c r="P16" s="9">
        <f t="shared" si="9"/>
        <v>403.33333333333337</v>
      </c>
      <c r="Q16" s="21">
        <v>0</v>
      </c>
      <c r="R16" s="11">
        <f>5660+3575+65120</f>
        <v>74355</v>
      </c>
      <c r="S16" s="11"/>
      <c r="T16" s="9">
        <v>0</v>
      </c>
      <c r="U16" s="18">
        <v>21115</v>
      </c>
      <c r="V16" s="3"/>
    </row>
    <row r="17" spans="1:22" x14ac:dyDescent="0.3">
      <c r="A17" s="8">
        <v>45674</v>
      </c>
      <c r="B17" s="11">
        <f>2015.47+4385+3895+18390</f>
        <v>28685.47</v>
      </c>
      <c r="C17" s="9">
        <f t="shared" si="0"/>
        <v>26077.7</v>
      </c>
      <c r="D17" s="9">
        <f t="shared" si="1"/>
        <v>2607.7700000000004</v>
      </c>
      <c r="E17" s="11">
        <f>7345+6797.87+7300+3100+13155</f>
        <v>37697.869999999995</v>
      </c>
      <c r="F17" s="9">
        <f t="shared" si="2"/>
        <v>31414.891666666663</v>
      </c>
      <c r="G17" s="9">
        <f t="shared" si="3"/>
        <v>6282.9783333333326</v>
      </c>
      <c r="H17" s="11">
        <f>200+235</f>
        <v>435</v>
      </c>
      <c r="I17" s="9">
        <f t="shared" si="4"/>
        <v>395.45454545454544</v>
      </c>
      <c r="J17" s="9">
        <f t="shared" si="5"/>
        <v>39.545454545454547</v>
      </c>
      <c r="K17" s="11">
        <f>1009.42+2000+300+2250+1400</f>
        <v>6959.42</v>
      </c>
      <c r="L17" s="9">
        <f t="shared" si="6"/>
        <v>5799.5166666666673</v>
      </c>
      <c r="M17" s="9">
        <f t="shared" si="7"/>
        <v>1159.9033333333334</v>
      </c>
      <c r="N17" s="11">
        <f>900+996.49+1350+1800</f>
        <v>5046.49</v>
      </c>
      <c r="O17" s="9">
        <f t="shared" si="8"/>
        <v>4205.4083333333338</v>
      </c>
      <c r="P17" s="9">
        <f t="shared" si="9"/>
        <v>841.08166666666682</v>
      </c>
      <c r="Q17" s="9">
        <v>0</v>
      </c>
      <c r="R17" s="11">
        <f>9645+10819.25+15235+7295+35830</f>
        <v>78824.25</v>
      </c>
      <c r="S17" s="11"/>
      <c r="T17" s="9">
        <v>0</v>
      </c>
      <c r="U17" s="18">
        <f>9210+15850+15440+21300</f>
        <v>61800</v>
      </c>
      <c r="V17" s="3"/>
    </row>
    <row r="18" spans="1:22" x14ac:dyDescent="0.3">
      <c r="A18" s="8">
        <v>45675</v>
      </c>
      <c r="B18" s="11">
        <f>450+48434.71+1700+18120</f>
        <v>68704.709999999992</v>
      </c>
      <c r="C18" s="9">
        <f t="shared" si="0"/>
        <v>62458.827272727263</v>
      </c>
      <c r="D18" s="9">
        <f t="shared" si="1"/>
        <v>6245.8827272727267</v>
      </c>
      <c r="E18" s="11">
        <f>8550+8850+14343.65+12740+8750</f>
        <v>53233.65</v>
      </c>
      <c r="F18" s="9">
        <f t="shared" si="2"/>
        <v>44361.375</v>
      </c>
      <c r="G18" s="9">
        <f t="shared" si="3"/>
        <v>8872.2749999999996</v>
      </c>
      <c r="H18" s="11">
        <f>1025+995+1105+450</f>
        <v>3575</v>
      </c>
      <c r="I18" s="9">
        <f t="shared" si="4"/>
        <v>3249.9999999999995</v>
      </c>
      <c r="J18" s="9">
        <f t="shared" si="5"/>
        <v>325</v>
      </c>
      <c r="K18" s="11">
        <f>2600+2400+4176.64+4000+1800</f>
        <v>14976.64</v>
      </c>
      <c r="L18" s="9">
        <f t="shared" si="6"/>
        <v>12480.533333333333</v>
      </c>
      <c r="M18" s="9">
        <f t="shared" si="7"/>
        <v>2496.1066666666666</v>
      </c>
      <c r="N18" s="11">
        <f>260+785+200</f>
        <v>1245</v>
      </c>
      <c r="O18" s="9">
        <f t="shared" si="8"/>
        <v>1037.5</v>
      </c>
      <c r="P18" s="9">
        <f t="shared" si="9"/>
        <v>207.5</v>
      </c>
      <c r="Q18" s="11">
        <f>1200+475</f>
        <v>1675</v>
      </c>
      <c r="R18" s="11">
        <f>11410+11525+68735+19270+29120</f>
        <v>140060</v>
      </c>
      <c r="S18" s="11"/>
      <c r="T18" s="11">
        <f>2400+770</f>
        <v>3170</v>
      </c>
      <c r="U18" s="18">
        <f>53475+39315+9885+12755</f>
        <v>115430</v>
      </c>
      <c r="V18" s="3"/>
    </row>
    <row r="19" spans="1:22" x14ac:dyDescent="0.3">
      <c r="A19" s="8">
        <v>45676</v>
      </c>
      <c r="B19" s="22">
        <f>76785</f>
        <v>76785</v>
      </c>
      <c r="C19" s="9">
        <f t="shared" si="0"/>
        <v>69804.545454545456</v>
      </c>
      <c r="D19" s="9">
        <f t="shared" si="1"/>
        <v>6980.454545454546</v>
      </c>
      <c r="E19" s="22">
        <f>650+7325</f>
        <v>7975</v>
      </c>
      <c r="F19" s="9">
        <f t="shared" si="2"/>
        <v>6645.8333333333339</v>
      </c>
      <c r="G19" s="9">
        <f t="shared" si="3"/>
        <v>1329.166666666667</v>
      </c>
      <c r="H19" s="22">
        <v>2940</v>
      </c>
      <c r="I19" s="9">
        <f t="shared" si="4"/>
        <v>2672.7272727272725</v>
      </c>
      <c r="J19" s="9">
        <f t="shared" si="5"/>
        <v>267.27272727272725</v>
      </c>
      <c r="K19" s="22">
        <v>3600</v>
      </c>
      <c r="L19" s="9">
        <f t="shared" si="6"/>
        <v>3000</v>
      </c>
      <c r="M19" s="9">
        <f t="shared" si="7"/>
        <v>600</v>
      </c>
      <c r="N19" s="22">
        <v>450</v>
      </c>
      <c r="O19" s="9">
        <f t="shared" si="8"/>
        <v>375</v>
      </c>
      <c r="P19" s="9">
        <f t="shared" si="9"/>
        <v>75</v>
      </c>
      <c r="Q19" s="22">
        <v>1990</v>
      </c>
      <c r="R19" s="22">
        <f>89110+650</f>
        <v>89760</v>
      </c>
      <c r="S19" s="22"/>
      <c r="T19" s="9">
        <v>0</v>
      </c>
      <c r="U19" s="18">
        <v>20180</v>
      </c>
      <c r="V19" s="3" t="s">
        <v>14</v>
      </c>
    </row>
    <row r="20" spans="1:22" x14ac:dyDescent="0.3">
      <c r="A20" s="8">
        <v>45678</v>
      </c>
      <c r="B20" s="11">
        <f>2225+39755</f>
        <v>41980</v>
      </c>
      <c r="C20" s="9">
        <f t="shared" si="0"/>
        <v>38163.63636363636</v>
      </c>
      <c r="D20" s="9">
        <f t="shared" si="1"/>
        <v>3816.363636363636</v>
      </c>
      <c r="E20" s="11">
        <f>1850+15375</f>
        <v>17225</v>
      </c>
      <c r="F20" s="9">
        <f t="shared" si="2"/>
        <v>14354.166666666668</v>
      </c>
      <c r="G20" s="9">
        <f t="shared" si="3"/>
        <v>2870.8333333333339</v>
      </c>
      <c r="H20" s="11">
        <f>540+1610</f>
        <v>2150</v>
      </c>
      <c r="I20" s="9">
        <f t="shared" si="4"/>
        <v>1954.5454545454543</v>
      </c>
      <c r="J20" s="9">
        <f t="shared" si="5"/>
        <v>195.45454545454544</v>
      </c>
      <c r="K20" s="11">
        <f>800+300+3450</f>
        <v>4550</v>
      </c>
      <c r="L20" s="9">
        <f t="shared" si="6"/>
        <v>3791.666666666667</v>
      </c>
      <c r="M20" s="9">
        <f t="shared" si="7"/>
        <v>758.33333333333348</v>
      </c>
      <c r="N20" s="11">
        <f>2999.99+900</f>
        <v>3899.99</v>
      </c>
      <c r="O20" s="9">
        <f t="shared" si="8"/>
        <v>3249.9916666666668</v>
      </c>
      <c r="P20" s="9">
        <f t="shared" si="9"/>
        <v>649.99833333333345</v>
      </c>
      <c r="Q20" s="9">
        <v>0</v>
      </c>
      <c r="R20" s="11">
        <f>2650+6064.99+61090</f>
        <v>69804.990000000005</v>
      </c>
      <c r="S20" s="11"/>
      <c r="T20" s="11">
        <v>860</v>
      </c>
      <c r="U20" s="18">
        <f>44195+8796</f>
        <v>52991</v>
      </c>
      <c r="V20" s="3"/>
    </row>
    <row r="21" spans="1:22" x14ac:dyDescent="0.3">
      <c r="A21" s="8">
        <v>45679</v>
      </c>
      <c r="B21" s="11">
        <v>22780</v>
      </c>
      <c r="C21" s="9">
        <f t="shared" si="0"/>
        <v>20709.090909090908</v>
      </c>
      <c r="D21" s="9">
        <f t="shared" si="1"/>
        <v>2070.909090909091</v>
      </c>
      <c r="E21" s="11">
        <v>9005</v>
      </c>
      <c r="F21" s="9">
        <f t="shared" si="2"/>
        <v>7504.166666666667</v>
      </c>
      <c r="G21" s="9">
        <f t="shared" si="3"/>
        <v>1500.8333333333335</v>
      </c>
      <c r="H21" s="11">
        <v>965</v>
      </c>
      <c r="I21" s="9">
        <f t="shared" si="4"/>
        <v>877.27272727272725</v>
      </c>
      <c r="J21" s="9">
        <f t="shared" si="5"/>
        <v>87.727272727272734</v>
      </c>
      <c r="K21" s="11">
        <v>2550</v>
      </c>
      <c r="L21" s="9">
        <f t="shared" si="6"/>
        <v>2125</v>
      </c>
      <c r="M21" s="9">
        <f t="shared" si="7"/>
        <v>425</v>
      </c>
      <c r="N21" s="9">
        <v>0</v>
      </c>
      <c r="O21" s="9">
        <f t="shared" si="8"/>
        <v>0</v>
      </c>
      <c r="P21" s="9">
        <f t="shared" si="9"/>
        <v>0</v>
      </c>
      <c r="Q21" s="11">
        <v>9525</v>
      </c>
      <c r="R21" s="11">
        <v>25775</v>
      </c>
      <c r="S21" s="11"/>
      <c r="T21" s="9">
        <v>0</v>
      </c>
      <c r="U21" s="15">
        <v>0</v>
      </c>
      <c r="V21" s="3"/>
    </row>
    <row r="22" spans="1:22" x14ac:dyDescent="0.3">
      <c r="A22" s="8">
        <v>45680</v>
      </c>
      <c r="B22" s="11">
        <f>780+16315</f>
        <v>17095</v>
      </c>
      <c r="C22" s="9">
        <f t="shared" si="0"/>
        <v>15540.90909090909</v>
      </c>
      <c r="D22" s="9">
        <f t="shared" si="1"/>
        <v>1554.090909090909</v>
      </c>
      <c r="E22" s="11">
        <f>2380+1650</f>
        <v>4030</v>
      </c>
      <c r="F22" s="9">
        <f t="shared" si="2"/>
        <v>3358.3333333333335</v>
      </c>
      <c r="G22" s="9">
        <f t="shared" si="3"/>
        <v>671.66666666666674</v>
      </c>
      <c r="H22" s="11">
        <v>645</v>
      </c>
      <c r="I22" s="9">
        <f t="shared" si="4"/>
        <v>586.36363636363626</v>
      </c>
      <c r="J22" s="9">
        <f t="shared" si="5"/>
        <v>58.636363636363626</v>
      </c>
      <c r="K22" s="11">
        <v>1500</v>
      </c>
      <c r="L22" s="9">
        <f t="shared" si="6"/>
        <v>1250</v>
      </c>
      <c r="M22" s="9">
        <f t="shared" si="7"/>
        <v>250</v>
      </c>
      <c r="N22" s="9">
        <v>0</v>
      </c>
      <c r="O22" s="9">
        <f t="shared" si="8"/>
        <v>0</v>
      </c>
      <c r="P22" s="9">
        <f t="shared" si="9"/>
        <v>0</v>
      </c>
      <c r="Q22" s="9">
        <v>0</v>
      </c>
      <c r="R22" s="11">
        <f>3160+20110</f>
        <v>23270</v>
      </c>
      <c r="S22" s="11"/>
      <c r="T22" s="9">
        <v>0</v>
      </c>
      <c r="U22" s="15">
        <v>0</v>
      </c>
      <c r="V22" s="3"/>
    </row>
    <row r="23" spans="1:22" x14ac:dyDescent="0.3">
      <c r="A23" s="8">
        <v>45681</v>
      </c>
      <c r="B23" s="11">
        <f>3100+2895+60900</f>
        <v>66895</v>
      </c>
      <c r="C23" s="9">
        <f t="shared" si="0"/>
        <v>60813.63636363636</v>
      </c>
      <c r="D23" s="9">
        <f t="shared" si="1"/>
        <v>6081.363636363636</v>
      </c>
      <c r="E23" s="11">
        <f>8450+16610</f>
        <v>25060</v>
      </c>
      <c r="F23" s="9">
        <f t="shared" si="2"/>
        <v>20883.333333333336</v>
      </c>
      <c r="G23" s="9">
        <f t="shared" si="3"/>
        <v>4176.666666666667</v>
      </c>
      <c r="H23" s="11">
        <f>925+1795</f>
        <v>2720</v>
      </c>
      <c r="I23" s="9">
        <f t="shared" si="4"/>
        <v>2472.7272727272725</v>
      </c>
      <c r="J23" s="9">
        <f t="shared" si="5"/>
        <v>247.27272727272725</v>
      </c>
      <c r="K23" s="11">
        <f>2600+300+6450</f>
        <v>9350</v>
      </c>
      <c r="L23" s="9">
        <f t="shared" si="6"/>
        <v>7791.666666666667</v>
      </c>
      <c r="M23" s="9">
        <f t="shared" si="7"/>
        <v>1558.3333333333335</v>
      </c>
      <c r="N23" s="9">
        <v>0</v>
      </c>
      <c r="O23" s="9">
        <f t="shared" si="8"/>
        <v>0</v>
      </c>
      <c r="P23" s="9">
        <f t="shared" si="9"/>
        <v>0</v>
      </c>
      <c r="Q23" s="11">
        <f>600+5907</f>
        <v>6507</v>
      </c>
      <c r="R23" s="11">
        <f>14475+3195+79848</f>
        <v>97518</v>
      </c>
      <c r="S23" s="11"/>
      <c r="T23" s="9">
        <v>0</v>
      </c>
      <c r="U23" s="18">
        <v>24075</v>
      </c>
      <c r="V23" s="3"/>
    </row>
    <row r="24" spans="1:22" x14ac:dyDescent="0.3">
      <c r="A24" s="8">
        <v>45682</v>
      </c>
      <c r="B24" s="11">
        <f>11550+1590+6995+36792.9</f>
        <v>56927.9</v>
      </c>
      <c r="C24" s="9">
        <f t="shared" si="0"/>
        <v>51752.63636363636</v>
      </c>
      <c r="D24" s="9">
        <f t="shared" si="1"/>
        <v>5175.2636363636366</v>
      </c>
      <c r="E24" s="11">
        <f>11725+6150+5275+595+1295+17876.62</f>
        <v>42916.619999999995</v>
      </c>
      <c r="F24" s="9">
        <f t="shared" si="2"/>
        <v>35763.85</v>
      </c>
      <c r="G24" s="9">
        <f t="shared" si="3"/>
        <v>7152.77</v>
      </c>
      <c r="H24" s="11">
        <f>75+1025+75+200+190+550</f>
        <v>2115</v>
      </c>
      <c r="I24" s="9">
        <f t="shared" si="4"/>
        <v>1922.7272727272725</v>
      </c>
      <c r="J24" s="9">
        <f t="shared" si="5"/>
        <v>192.27272727272725</v>
      </c>
      <c r="K24" s="11">
        <f>2800+1700+1200+300+900+4254.34</f>
        <v>11154.34</v>
      </c>
      <c r="L24" s="9">
        <f t="shared" si="6"/>
        <v>9295.2833333333347</v>
      </c>
      <c r="M24" s="9">
        <f t="shared" si="7"/>
        <v>1859.0566666666671</v>
      </c>
      <c r="N24" s="11">
        <f>800+600+1481.14</f>
        <v>2881.1400000000003</v>
      </c>
      <c r="O24" s="9">
        <f t="shared" si="8"/>
        <v>2400.9500000000003</v>
      </c>
      <c r="P24" s="9">
        <f t="shared" si="9"/>
        <v>480.19000000000005</v>
      </c>
      <c r="Q24" s="11">
        <f>5075</f>
        <v>5075</v>
      </c>
      <c r="R24" s="11">
        <f>9525+21225+6550+2685+9980+60955</f>
        <v>110920</v>
      </c>
      <c r="S24" s="11"/>
      <c r="T24" s="11">
        <v>6580</v>
      </c>
      <c r="U24" s="18">
        <f>16010+48895</f>
        <v>64905</v>
      </c>
      <c r="V24" s="3"/>
    </row>
    <row r="25" spans="1:22" x14ac:dyDescent="0.3">
      <c r="A25" s="8">
        <v>45683</v>
      </c>
      <c r="B25" s="11">
        <f>5585+40550+34320</f>
        <v>80455</v>
      </c>
      <c r="C25" s="9">
        <f t="shared" si="0"/>
        <v>73140.909090909088</v>
      </c>
      <c r="D25" s="9">
        <f t="shared" si="1"/>
        <v>7314.090909090909</v>
      </c>
      <c r="E25" s="11">
        <f>4185+10125</f>
        <v>14310</v>
      </c>
      <c r="F25" s="9">
        <f t="shared" si="2"/>
        <v>11925</v>
      </c>
      <c r="G25" s="9">
        <f t="shared" si="3"/>
        <v>2385</v>
      </c>
      <c r="H25" s="11">
        <f>1685+600</f>
        <v>2285</v>
      </c>
      <c r="I25" s="9">
        <f t="shared" si="4"/>
        <v>2077.272727272727</v>
      </c>
      <c r="J25" s="9">
        <f t="shared" si="5"/>
        <v>207.72727272727272</v>
      </c>
      <c r="K25" s="11">
        <f>1500+1800</f>
        <v>3300</v>
      </c>
      <c r="L25" s="9">
        <f t="shared" si="6"/>
        <v>2750</v>
      </c>
      <c r="M25" s="9">
        <f t="shared" si="7"/>
        <v>550</v>
      </c>
      <c r="N25" s="9">
        <v>0</v>
      </c>
      <c r="O25" s="9">
        <f t="shared" si="8"/>
        <v>0</v>
      </c>
      <c r="P25" s="9">
        <f t="shared" si="9"/>
        <v>0</v>
      </c>
      <c r="Q25" s="11">
        <v>4265</v>
      </c>
      <c r="R25" s="11">
        <f>11270+37970+46845</f>
        <v>96085</v>
      </c>
      <c r="S25" s="11"/>
      <c r="T25" s="9">
        <v>0</v>
      </c>
      <c r="U25" s="18">
        <f>15000+9505</f>
        <v>24505</v>
      </c>
      <c r="V25" s="3"/>
    </row>
    <row r="26" spans="1:22" x14ac:dyDescent="0.3">
      <c r="A26" s="8">
        <v>45685</v>
      </c>
      <c r="B26" s="11">
        <f>7040+27200</f>
        <v>34240</v>
      </c>
      <c r="C26" s="9">
        <f t="shared" si="0"/>
        <v>31127.272727272724</v>
      </c>
      <c r="D26" s="9">
        <f t="shared" si="1"/>
        <v>3112.7272727272725</v>
      </c>
      <c r="E26" s="11">
        <f>8100+2800+11775</f>
        <v>22675</v>
      </c>
      <c r="F26" s="9">
        <f t="shared" si="2"/>
        <v>18895.833333333336</v>
      </c>
      <c r="G26" s="9">
        <f t="shared" si="3"/>
        <v>3779.1666666666674</v>
      </c>
      <c r="H26" s="11">
        <f>150+905+1010</f>
        <v>2065</v>
      </c>
      <c r="I26" s="9">
        <f t="shared" si="4"/>
        <v>1877.272727272727</v>
      </c>
      <c r="J26" s="9">
        <f t="shared" si="5"/>
        <v>187.72727272727272</v>
      </c>
      <c r="K26" s="11">
        <f>1800+1450+3150</f>
        <v>6400</v>
      </c>
      <c r="L26" s="9">
        <f t="shared" si="6"/>
        <v>5333.3333333333339</v>
      </c>
      <c r="M26" s="9">
        <f t="shared" si="7"/>
        <v>1066.6666666666667</v>
      </c>
      <c r="N26" s="11">
        <f>750+1050</f>
        <v>1800</v>
      </c>
      <c r="O26" s="9">
        <f t="shared" si="8"/>
        <v>1500</v>
      </c>
      <c r="P26" s="9">
        <f t="shared" si="9"/>
        <v>300</v>
      </c>
      <c r="Q26" s="11">
        <v>2115</v>
      </c>
      <c r="R26" s="11">
        <f>10050+12945+42070</f>
        <v>65065</v>
      </c>
      <c r="S26" s="11"/>
      <c r="T26" s="9">
        <v>0</v>
      </c>
      <c r="U26" s="18">
        <f>28955+14320</f>
        <v>43275</v>
      </c>
      <c r="V26" s="3"/>
    </row>
    <row r="27" spans="1:22" x14ac:dyDescent="0.3">
      <c r="A27" s="8">
        <v>45686</v>
      </c>
      <c r="B27" s="11">
        <f>14770+7085+10510+250</f>
        <v>32615</v>
      </c>
      <c r="C27" s="9">
        <f t="shared" si="0"/>
        <v>29649.999999999996</v>
      </c>
      <c r="D27" s="9">
        <f t="shared" si="1"/>
        <v>2965</v>
      </c>
      <c r="E27" s="11">
        <f>14825+5925+4140+14150</f>
        <v>39040</v>
      </c>
      <c r="F27" s="9">
        <f t="shared" si="2"/>
        <v>32533.333333333336</v>
      </c>
      <c r="G27" s="9">
        <f t="shared" si="3"/>
        <v>6506.6666666666679</v>
      </c>
      <c r="H27" s="11">
        <f>400+600</f>
        <v>1000</v>
      </c>
      <c r="I27" s="9">
        <f t="shared" si="4"/>
        <v>909.09090909090901</v>
      </c>
      <c r="J27" s="9">
        <f t="shared" si="5"/>
        <v>90.909090909090907</v>
      </c>
      <c r="K27" s="11">
        <f>1650+750+1050+2200</f>
        <v>5650</v>
      </c>
      <c r="L27" s="9">
        <f t="shared" si="6"/>
        <v>4708.3333333333339</v>
      </c>
      <c r="M27" s="9">
        <f t="shared" si="7"/>
        <v>941.66666666666686</v>
      </c>
      <c r="N27" s="11">
        <f>1050+450+1000</f>
        <v>2500</v>
      </c>
      <c r="O27" s="9">
        <f t="shared" si="8"/>
        <v>2083.3333333333335</v>
      </c>
      <c r="P27" s="9">
        <f t="shared" si="9"/>
        <v>416.66666666666674</v>
      </c>
      <c r="Q27" s="11">
        <v>2900</v>
      </c>
      <c r="R27" s="11">
        <f>32695+14210+15700+15300</f>
        <v>77905</v>
      </c>
      <c r="S27" s="11"/>
      <c r="T27" s="9">
        <v>0</v>
      </c>
      <c r="U27" s="15">
        <v>13230</v>
      </c>
      <c r="V27" s="3"/>
    </row>
    <row r="28" spans="1:22" x14ac:dyDescent="0.3">
      <c r="A28" s="8">
        <v>45687</v>
      </c>
      <c r="B28" s="11">
        <f>16595+17895</f>
        <v>34490</v>
      </c>
      <c r="C28" s="9">
        <f t="shared" si="0"/>
        <v>31354.545454545452</v>
      </c>
      <c r="D28" s="9">
        <f t="shared" si="1"/>
        <v>3135.4545454545455</v>
      </c>
      <c r="E28" s="11">
        <f>8410+6470</f>
        <v>14880</v>
      </c>
      <c r="F28" s="9">
        <f t="shared" si="2"/>
        <v>12400</v>
      </c>
      <c r="G28" s="9">
        <f t="shared" si="3"/>
        <v>2480</v>
      </c>
      <c r="H28" s="11">
        <f>875+1810</f>
        <v>2685</v>
      </c>
      <c r="I28" s="9">
        <f t="shared" si="4"/>
        <v>2440.9090909090905</v>
      </c>
      <c r="J28" s="9">
        <f t="shared" si="5"/>
        <v>244.09090909090907</v>
      </c>
      <c r="K28" s="11">
        <f>3400+2100</f>
        <v>5500</v>
      </c>
      <c r="L28" s="9">
        <f t="shared" si="6"/>
        <v>4583.3333333333339</v>
      </c>
      <c r="M28" s="9">
        <f t="shared" si="7"/>
        <v>916.66666666666686</v>
      </c>
      <c r="N28" s="11">
        <v>425</v>
      </c>
      <c r="O28" s="9">
        <f t="shared" si="8"/>
        <v>354.16666666666669</v>
      </c>
      <c r="P28" s="9">
        <f t="shared" si="9"/>
        <v>70.833333333333343</v>
      </c>
      <c r="Q28" s="9">
        <v>0</v>
      </c>
      <c r="R28" s="11">
        <f>29280+28700</f>
        <v>57980</v>
      </c>
      <c r="S28" s="11"/>
      <c r="T28" s="9">
        <v>1750</v>
      </c>
      <c r="U28" s="15">
        <f>8745+11100</f>
        <v>19845</v>
      </c>
      <c r="V28" s="3"/>
    </row>
    <row r="29" spans="1:22" x14ac:dyDescent="0.3">
      <c r="A29" s="8">
        <v>45688</v>
      </c>
      <c r="B29" s="11">
        <f>35200+13330</f>
        <v>48530</v>
      </c>
      <c r="C29" s="9">
        <f t="shared" si="0"/>
        <v>44118.181818181816</v>
      </c>
      <c r="D29" s="9">
        <f t="shared" si="1"/>
        <v>4411.818181818182</v>
      </c>
      <c r="E29" s="11">
        <f>10050+10590+7950-2300</f>
        <v>26290</v>
      </c>
      <c r="F29" s="9">
        <f t="shared" si="2"/>
        <v>21908.333333333336</v>
      </c>
      <c r="G29" s="9">
        <f t="shared" si="3"/>
        <v>4381.666666666667</v>
      </c>
      <c r="H29" s="11">
        <f>2405+300</f>
        <v>2705</v>
      </c>
      <c r="I29" s="9">
        <f t="shared" si="4"/>
        <v>2459.090909090909</v>
      </c>
      <c r="J29" s="9">
        <f t="shared" si="5"/>
        <v>245.90909090909091</v>
      </c>
      <c r="K29" s="11">
        <f>2000+3600+1000</f>
        <v>6600</v>
      </c>
      <c r="L29" s="9">
        <f t="shared" si="6"/>
        <v>5500</v>
      </c>
      <c r="M29" s="9">
        <f t="shared" si="7"/>
        <v>1100</v>
      </c>
      <c r="N29" s="11">
        <v>750</v>
      </c>
      <c r="O29" s="9">
        <f t="shared" si="8"/>
        <v>625</v>
      </c>
      <c r="P29" s="9">
        <f t="shared" si="9"/>
        <v>125</v>
      </c>
      <c r="Q29" s="11">
        <f>6250+7330-2300</f>
        <v>11280</v>
      </c>
      <c r="R29" s="11">
        <f>5800+52545+15250</f>
        <v>73595</v>
      </c>
      <c r="S29" s="11"/>
      <c r="T29" s="9">
        <v>3075</v>
      </c>
      <c r="U29" s="15">
        <f>3820+13630+7575</f>
        <v>25025</v>
      </c>
      <c r="V29" s="3"/>
    </row>
    <row r="30" spans="1:22" x14ac:dyDescent="0.3">
      <c r="B30" s="6">
        <f>SUM(B3:B29)</f>
        <v>1245475.23</v>
      </c>
      <c r="C30" s="10">
        <f>B30/1.1</f>
        <v>1132250.209090909</v>
      </c>
      <c r="D30" s="10">
        <f t="shared" ref="D30" si="10">C30*10/100</f>
        <v>113225.0209090909</v>
      </c>
      <c r="E30" s="6">
        <f>SUM(E3:E29)</f>
        <v>634868.85000000009</v>
      </c>
      <c r="F30" s="10">
        <f t="shared" ref="F30" si="11">E30/1.2</f>
        <v>529057.37500000012</v>
      </c>
      <c r="G30" s="10">
        <f t="shared" ref="G30" si="12">F30*20/100</f>
        <v>105811.47500000002</v>
      </c>
      <c r="H30" s="6">
        <f>SUM(H3:H29)</f>
        <v>58474.630000000005</v>
      </c>
      <c r="I30" s="10">
        <f t="shared" ref="I30" si="13">H30/1.1</f>
        <v>53158.754545454547</v>
      </c>
      <c r="J30" s="10">
        <f t="shared" ref="J30" si="14">I30*10/100</f>
        <v>5315.875454545454</v>
      </c>
      <c r="K30" s="6">
        <f>SUM(K3:K29)</f>
        <v>158078.39999999999</v>
      </c>
      <c r="L30" s="10">
        <f t="shared" ref="L30" si="15">K30/1.2</f>
        <v>131732</v>
      </c>
      <c r="M30" s="10">
        <f t="shared" ref="M30" si="16">L30*20/100</f>
        <v>26346.400000000001</v>
      </c>
      <c r="N30" s="6">
        <f>SUM(N3:N29)</f>
        <v>32107.619999999995</v>
      </c>
      <c r="O30" s="10">
        <f t="shared" ref="O30" si="17">N30/1.2</f>
        <v>26756.35</v>
      </c>
      <c r="P30" s="10">
        <f t="shared" ref="P30" si="18">O30*20/100</f>
        <v>5351.27</v>
      </c>
      <c r="Q30" s="6">
        <f>SUM(Q3:Q29)</f>
        <v>128532</v>
      </c>
      <c r="R30" s="6">
        <f>SUM(R3:R29)</f>
        <v>2000472.73</v>
      </c>
      <c r="S30" s="6"/>
      <c r="T30" s="6">
        <f>SUM(T3:T29)</f>
        <v>19415</v>
      </c>
      <c r="U30" s="6">
        <f>SUM(U3:U29)</f>
        <v>957394.5</v>
      </c>
      <c r="V30" s="3"/>
    </row>
    <row r="31" spans="1:22" x14ac:dyDescent="0.3">
      <c r="A31" s="4" t="s">
        <v>17</v>
      </c>
      <c r="B31" s="5">
        <f>B32-B30</f>
        <v>0</v>
      </c>
      <c r="C31" s="5"/>
      <c r="D31" s="5"/>
      <c r="E31" s="5">
        <f>E32-E30</f>
        <v>3814.9999999998836</v>
      </c>
      <c r="F31" s="5"/>
      <c r="G31" s="5"/>
      <c r="H31" s="5">
        <f>H32-H30</f>
        <v>974.99999999999272</v>
      </c>
      <c r="I31" s="5"/>
      <c r="J31" s="5"/>
      <c r="K31" s="5">
        <f>K32-K30</f>
        <v>400</v>
      </c>
      <c r="L31" s="5"/>
      <c r="M31" s="5"/>
      <c r="N31" s="5">
        <f>N32-N30</f>
        <v>0</v>
      </c>
      <c r="O31" s="5"/>
      <c r="P31" s="5"/>
      <c r="Q31" s="5">
        <f>Q32-Q30</f>
        <v>5190</v>
      </c>
      <c r="R31" s="5">
        <f>R32-R30</f>
        <v>0</v>
      </c>
      <c r="S31" s="5"/>
      <c r="T31" s="5">
        <f>T32-T30</f>
        <v>0</v>
      </c>
      <c r="U31" s="5">
        <f>U32-U30</f>
        <v>18670</v>
      </c>
    </row>
    <row r="32" spans="1:22" x14ac:dyDescent="0.3">
      <c r="B32" s="7">
        <f>637557.96+607917.27</f>
        <v>1245475.23</v>
      </c>
      <c r="C32" s="7"/>
      <c r="D32" s="7"/>
      <c r="E32" s="7">
        <f>333081.49+305602.36</f>
        <v>638683.85</v>
      </c>
      <c r="F32" s="7"/>
      <c r="G32" s="7"/>
      <c r="H32" s="7">
        <f>27882.67+31566.96</f>
        <v>59449.63</v>
      </c>
      <c r="I32" s="7"/>
      <c r="J32" s="7"/>
      <c r="K32" s="7">
        <f>84390+74088.4</f>
        <v>158478.39999999999</v>
      </c>
      <c r="L32" s="7"/>
      <c r="M32" s="7"/>
      <c r="N32" s="7">
        <f>17442.62+14665</f>
        <v>32107.62</v>
      </c>
      <c r="O32" s="7"/>
      <c r="P32" s="7"/>
      <c r="Q32" s="7">
        <f>72252+61470</f>
        <v>133722</v>
      </c>
      <c r="R32" s="7">
        <f>1028102.74+972369.99</f>
        <v>2000472.73</v>
      </c>
      <c r="S32" s="7"/>
      <c r="T32" s="7">
        <f>12805+6610</f>
        <v>19415</v>
      </c>
      <c r="U32" s="7">
        <f>553630+422434.5</f>
        <v>976064.5</v>
      </c>
    </row>
    <row r="33" spans="1:21" x14ac:dyDescent="0.3">
      <c r="A33" s="4" t="s">
        <v>15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1:21" x14ac:dyDescent="0.3">
      <c r="A34" s="4" t="s">
        <v>16</v>
      </c>
      <c r="B34" s="5">
        <v>0</v>
      </c>
      <c r="C34" s="5"/>
      <c r="D34" s="5"/>
      <c r="E34" s="5">
        <v>2300</v>
      </c>
      <c r="F34" s="5"/>
      <c r="G34" s="5"/>
      <c r="H34" s="5">
        <v>0</v>
      </c>
      <c r="I34" s="5"/>
      <c r="J34" s="5"/>
      <c r="K34" s="5">
        <v>0</v>
      </c>
      <c r="L34" s="5"/>
      <c r="M34" s="5"/>
      <c r="N34" s="5">
        <v>0</v>
      </c>
      <c r="O34" s="5"/>
      <c r="P34" s="5"/>
      <c r="Q34" s="5">
        <v>6250</v>
      </c>
      <c r="R34" s="5">
        <v>5800</v>
      </c>
      <c r="S34" s="5"/>
      <c r="T34" s="5">
        <v>0</v>
      </c>
      <c r="U34" s="5">
        <v>0</v>
      </c>
    </row>
    <row r="35" spans="1:21" x14ac:dyDescent="0.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ht="15" thickBot="1" x14ac:dyDescent="0.3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x14ac:dyDescent="0.3">
      <c r="A37" s="40"/>
      <c r="B37" s="41"/>
      <c r="C37" s="41"/>
      <c r="D37" s="41"/>
      <c r="E37" s="54" t="s">
        <v>28</v>
      </c>
      <c r="F37" s="41"/>
      <c r="G37" s="41"/>
      <c r="H37" s="41"/>
      <c r="I37" s="42"/>
      <c r="J37" s="5"/>
      <c r="K37" s="40"/>
      <c r="L37" s="41"/>
      <c r="M37" s="41"/>
      <c r="N37" s="41"/>
      <c r="O37" s="54" t="s">
        <v>27</v>
      </c>
      <c r="P37" s="41"/>
      <c r="Q37" s="41"/>
      <c r="R37" s="41"/>
      <c r="S37" s="41"/>
      <c r="T37" s="42"/>
      <c r="U37" s="5"/>
    </row>
    <row r="38" spans="1:21" x14ac:dyDescent="0.3">
      <c r="A38" s="51"/>
      <c r="B38" s="52" t="s">
        <v>22</v>
      </c>
      <c r="C38" s="52"/>
      <c r="D38" s="52" t="s">
        <v>23</v>
      </c>
      <c r="E38" s="52"/>
      <c r="F38" s="52" t="s">
        <v>24</v>
      </c>
      <c r="G38" s="52"/>
      <c r="H38" s="52" t="s">
        <v>25</v>
      </c>
      <c r="I38" s="53" t="s">
        <v>26</v>
      </c>
      <c r="J38" s="5"/>
      <c r="K38" s="51"/>
      <c r="L38" s="52" t="s">
        <v>22</v>
      </c>
      <c r="M38" s="52"/>
      <c r="N38" s="52" t="s">
        <v>23</v>
      </c>
      <c r="O38" s="52"/>
      <c r="P38" s="52" t="s">
        <v>24</v>
      </c>
      <c r="Q38" s="52"/>
      <c r="R38" s="52" t="s">
        <v>25</v>
      </c>
      <c r="S38" s="52"/>
      <c r="T38" s="53" t="s">
        <v>26</v>
      </c>
      <c r="U38" s="5"/>
    </row>
    <row r="39" spans="1:21" x14ac:dyDescent="0.3">
      <c r="A39" s="43" t="s">
        <v>20</v>
      </c>
      <c r="B39" s="44">
        <v>664465.63</v>
      </c>
      <c r="C39" s="44"/>
      <c r="D39" s="44">
        <v>430699.11</v>
      </c>
      <c r="E39" s="44"/>
      <c r="F39" s="44">
        <v>566435</v>
      </c>
      <c r="G39" s="44"/>
      <c r="H39" s="44">
        <v>79867</v>
      </c>
      <c r="I39" s="45">
        <v>1581732.74</v>
      </c>
      <c r="J39" s="5"/>
      <c r="K39" s="43" t="s">
        <v>20</v>
      </c>
      <c r="L39" s="44">
        <f>B30</f>
        <v>1245475.23</v>
      </c>
      <c r="M39" s="44"/>
      <c r="N39" s="44">
        <f>E30+K30+N30</f>
        <v>825054.87000000011</v>
      </c>
      <c r="O39" s="44"/>
      <c r="P39" s="44">
        <f>U30+T30</f>
        <v>976809.5</v>
      </c>
      <c r="Q39" s="44"/>
      <c r="R39" s="44">
        <f>Q30+T30</f>
        <v>147947</v>
      </c>
      <c r="S39" s="44"/>
      <c r="T39" s="45">
        <f>U30+R30</f>
        <v>2957867.23</v>
      </c>
      <c r="U39" s="5"/>
    </row>
    <row r="40" spans="1:21" x14ac:dyDescent="0.3">
      <c r="A40" s="43" t="s">
        <v>21</v>
      </c>
      <c r="B40" s="44">
        <v>639484.23</v>
      </c>
      <c r="C40" s="44"/>
      <c r="D40" s="44">
        <v>394355.76</v>
      </c>
      <c r="E40" s="44"/>
      <c r="F40" s="44">
        <v>429044.5</v>
      </c>
      <c r="G40" s="44"/>
      <c r="H40" s="44">
        <v>68080</v>
      </c>
      <c r="I40" s="45">
        <v>1394804.49</v>
      </c>
      <c r="J40" s="5"/>
      <c r="K40" s="43" t="s">
        <v>21</v>
      </c>
      <c r="L40" s="44">
        <f>H30</f>
        <v>58474.630000000005</v>
      </c>
      <c r="M40" s="44"/>
      <c r="N40" s="44"/>
      <c r="O40" s="44"/>
      <c r="P40" s="44"/>
      <c r="Q40" s="44"/>
      <c r="R40" s="44"/>
      <c r="S40" s="44"/>
      <c r="T40" s="45"/>
      <c r="U40" s="5"/>
    </row>
    <row r="41" spans="1:21" x14ac:dyDescent="0.3">
      <c r="A41" s="43"/>
      <c r="B41" s="44">
        <f>SUM(B39:B40)</f>
        <v>1303949.8599999999</v>
      </c>
      <c r="C41" s="44"/>
      <c r="D41" s="44">
        <f>SUM(D39:D40)</f>
        <v>825054.87</v>
      </c>
      <c r="E41" s="44"/>
      <c r="F41" s="44">
        <f>SUM(F39:F40)</f>
        <v>995479.5</v>
      </c>
      <c r="G41" s="44"/>
      <c r="H41" s="44">
        <f>SUM(H39:H40)</f>
        <v>147947</v>
      </c>
      <c r="I41" s="45">
        <f>SUM(I39:I40)</f>
        <v>2976537.23</v>
      </c>
      <c r="J41" s="5"/>
      <c r="K41" s="43"/>
      <c r="L41" s="44">
        <f>SUM(L39:L40)</f>
        <v>1303949.8599999999</v>
      </c>
      <c r="M41" s="44"/>
      <c r="N41" s="44">
        <f>SUM(N39:N40)</f>
        <v>825054.87000000011</v>
      </c>
      <c r="O41" s="44"/>
      <c r="P41" s="44">
        <f>SUM(P39:P40)</f>
        <v>976809.5</v>
      </c>
      <c r="Q41" s="44"/>
      <c r="R41" s="44">
        <f>SUM(R39:R40)</f>
        <v>147947</v>
      </c>
      <c r="S41" s="44"/>
      <c r="T41" s="45">
        <f>SUM(T39:T40)</f>
        <v>2957867.23</v>
      </c>
      <c r="U41" s="5"/>
    </row>
    <row r="42" spans="1:21" x14ac:dyDescent="0.3">
      <c r="A42" s="43"/>
      <c r="B42" s="44"/>
      <c r="C42" s="44"/>
      <c r="D42" s="44"/>
      <c r="E42" s="44"/>
      <c r="F42" s="44"/>
      <c r="G42" s="44"/>
      <c r="H42" s="44"/>
      <c r="I42" s="45"/>
      <c r="J42" s="5"/>
      <c r="K42" s="43"/>
      <c r="L42" s="44">
        <f>L41-B41</f>
        <v>0</v>
      </c>
      <c r="M42" s="44"/>
      <c r="N42" s="44">
        <f>N41-D41</f>
        <v>0</v>
      </c>
      <c r="O42" s="44"/>
      <c r="P42" s="44">
        <f>P41-F41</f>
        <v>-18670</v>
      </c>
      <c r="Q42" s="52" t="s">
        <v>29</v>
      </c>
      <c r="R42" s="44"/>
      <c r="S42" s="44"/>
      <c r="T42" s="45">
        <f>T41-I41</f>
        <v>-18670</v>
      </c>
      <c r="U42" s="5"/>
    </row>
    <row r="43" spans="1:21" x14ac:dyDescent="0.3">
      <c r="A43" s="43"/>
      <c r="B43" s="44"/>
      <c r="C43" s="44"/>
      <c r="D43" s="44">
        <f>B41+D41+F41</f>
        <v>3124484.23</v>
      </c>
      <c r="E43" s="44"/>
      <c r="F43" s="44"/>
      <c r="G43" s="44"/>
      <c r="H43" s="44"/>
      <c r="I43" s="45">
        <f>I41+H41</f>
        <v>3124484.23</v>
      </c>
      <c r="J43" s="5"/>
      <c r="K43" s="43"/>
      <c r="L43" s="44"/>
      <c r="M43" s="44"/>
      <c r="N43" s="44">
        <f>L41+N41+P41</f>
        <v>3105814.23</v>
      </c>
      <c r="O43" s="44"/>
      <c r="P43" s="44"/>
      <c r="Q43" s="44"/>
      <c r="R43" s="44"/>
      <c r="S43" s="44"/>
      <c r="T43" s="45">
        <f>T41+R41</f>
        <v>3105814.23</v>
      </c>
      <c r="U43" s="5"/>
    </row>
    <row r="44" spans="1:21" x14ac:dyDescent="0.3">
      <c r="A44" s="43"/>
      <c r="B44" s="46"/>
      <c r="C44" s="46"/>
      <c r="D44" s="46"/>
      <c r="E44" s="46"/>
      <c r="F44" s="46"/>
      <c r="G44" s="46"/>
      <c r="H44" s="46"/>
      <c r="I44" s="47"/>
      <c r="K44" s="43"/>
      <c r="L44" s="46"/>
      <c r="M44" s="46"/>
      <c r="N44" s="46"/>
      <c r="O44" s="46"/>
      <c r="P44" s="46"/>
      <c r="Q44" s="46"/>
      <c r="R44" s="46"/>
      <c r="S44" s="46"/>
      <c r="T44" s="47"/>
    </row>
    <row r="45" spans="1:21" x14ac:dyDescent="0.3">
      <c r="A45" s="43"/>
      <c r="B45" s="46"/>
      <c r="C45" s="46"/>
      <c r="D45" s="46"/>
      <c r="E45" s="46"/>
      <c r="F45" s="44">
        <f>D43-I43</f>
        <v>0</v>
      </c>
      <c r="G45" s="46"/>
      <c r="H45" s="46"/>
      <c r="I45" s="47"/>
      <c r="K45" s="43"/>
      <c r="L45" s="46"/>
      <c r="M45" s="46"/>
      <c r="N45" s="46"/>
      <c r="O45" s="46"/>
      <c r="P45" s="44">
        <f>N43-T43</f>
        <v>0</v>
      </c>
      <c r="Q45" s="46"/>
      <c r="R45" s="46"/>
      <c r="S45" s="46"/>
      <c r="T45" s="47"/>
    </row>
    <row r="46" spans="1:21" x14ac:dyDescent="0.3">
      <c r="A46" s="43"/>
      <c r="B46" s="46"/>
      <c r="C46" s="46"/>
      <c r="D46" s="46"/>
      <c r="E46" s="46"/>
      <c r="F46" s="46"/>
      <c r="G46" s="46"/>
      <c r="H46" s="46"/>
      <c r="I46" s="47"/>
      <c r="K46" s="43"/>
      <c r="L46" s="46"/>
      <c r="M46" s="46"/>
      <c r="N46" s="46"/>
      <c r="O46" s="46"/>
      <c r="P46" s="46"/>
      <c r="Q46" s="46"/>
      <c r="R46" s="46"/>
      <c r="S46" s="46"/>
      <c r="T46" s="47"/>
    </row>
    <row r="47" spans="1:21" ht="15" thickBot="1" x14ac:dyDescent="0.35">
      <c r="A47" s="48"/>
      <c r="B47" s="49"/>
      <c r="C47" s="49"/>
      <c r="D47" s="49"/>
      <c r="E47" s="49"/>
      <c r="F47" s="49"/>
      <c r="G47" s="49"/>
      <c r="H47" s="49"/>
      <c r="I47" s="50"/>
      <c r="K47" s="48"/>
      <c r="L47" s="49"/>
      <c r="M47" s="49"/>
      <c r="N47" s="49"/>
      <c r="O47" s="49"/>
      <c r="P47" s="49"/>
      <c r="Q47" s="49"/>
      <c r="R47" s="49"/>
      <c r="S47" s="49"/>
      <c r="T47" s="50"/>
    </row>
  </sheetData>
  <mergeCells count="1">
    <mergeCell ref="T1:U1"/>
  </mergeCells>
  <phoneticPr fontId="3" type="noConversion"/>
  <pageMargins left="0.7" right="0.7" top="0.75" bottom="0.75" header="0.3" footer="0.3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E3" sqref="E3"/>
    </sheetView>
  </sheetViews>
  <sheetFormatPr defaultRowHeight="14.4" x14ac:dyDescent="0.3"/>
  <cols>
    <col min="1" max="1" width="10.109375" style="35" bestFit="1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0" style="26" bestFit="1" customWidth="1"/>
    <col min="8" max="8" width="9.109375" style="26" bestFit="1" customWidth="1"/>
    <col min="9" max="9" width="9" style="26" bestFit="1" customWidth="1"/>
    <col min="10" max="10" width="8" style="26" bestFit="1" customWidth="1"/>
    <col min="11" max="11" width="10.109375" style="26" bestFit="1" customWidth="1"/>
    <col min="12" max="12" width="10" style="26" bestFit="1" customWidth="1"/>
    <col min="13" max="13" width="9" style="26" bestFit="1" customWidth="1"/>
    <col min="14" max="14" width="9.109375" style="26" bestFit="1" customWidth="1"/>
    <col min="15" max="15" width="9" style="26" bestFit="1" customWidth="1"/>
    <col min="16" max="16" width="8" style="26" bestFit="1" customWidth="1"/>
    <col min="17" max="17" width="10.109375" style="26" bestFit="1" customWidth="1"/>
    <col min="18" max="18" width="11.6640625" style="26" bestFit="1" customWidth="1"/>
    <col min="19" max="19" width="11.6640625" style="26" customWidth="1"/>
    <col min="20" max="21" width="13.88671875" style="26" customWidth="1"/>
    <col min="22" max="22" width="32.109375" style="35" bestFit="1" customWidth="1"/>
    <col min="23" max="16384" width="8.88671875" style="26"/>
  </cols>
  <sheetData>
    <row r="1" spans="1:22" x14ac:dyDescent="0.3">
      <c r="A1" s="23" t="s">
        <v>0</v>
      </c>
      <c r="B1" s="24" t="s">
        <v>1</v>
      </c>
      <c r="C1" s="24"/>
      <c r="D1" s="24"/>
      <c r="E1" s="24" t="s">
        <v>2</v>
      </c>
      <c r="F1" s="24"/>
      <c r="G1" s="24"/>
      <c r="H1" s="23" t="s">
        <v>3</v>
      </c>
      <c r="I1" s="24"/>
      <c r="J1" s="24"/>
      <c r="K1" s="23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57" t="s">
        <v>8</v>
      </c>
      <c r="U1" s="58"/>
      <c r="V1" s="23" t="s">
        <v>10</v>
      </c>
    </row>
    <row r="2" spans="1:22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23"/>
      <c r="R2" s="23"/>
      <c r="S2" s="25"/>
      <c r="T2" s="23" t="s">
        <v>6</v>
      </c>
      <c r="U2" s="29" t="s">
        <v>9</v>
      </c>
      <c r="V2" s="27"/>
    </row>
    <row r="3" spans="1:22" x14ac:dyDescent="0.3">
      <c r="A3" s="30">
        <v>45689</v>
      </c>
      <c r="B3" s="11">
        <f>350+750+17620+13360</f>
        <v>32080</v>
      </c>
      <c r="C3" s="21">
        <f>B3/1.1</f>
        <v>29163.63636363636</v>
      </c>
      <c r="D3" s="21">
        <f>C3*0.1</f>
        <v>2916.363636363636</v>
      </c>
      <c r="E3" s="11">
        <f>10850+29125+2150+11100+10700</f>
        <v>63925</v>
      </c>
      <c r="F3" s="21">
        <f>E3/1.2</f>
        <v>53270.833333333336</v>
      </c>
      <c r="G3" s="21">
        <f>F3*0.2</f>
        <v>10654.166666666668</v>
      </c>
      <c r="H3" s="11">
        <f>170+150+815+135</f>
        <v>1270</v>
      </c>
      <c r="I3" s="21">
        <f>H3/1.1</f>
        <v>1154.5454545454545</v>
      </c>
      <c r="J3" s="21">
        <f>I3*0.1</f>
        <v>115.45454545454545</v>
      </c>
      <c r="K3" s="11">
        <f>2200+3600+3400+1800</f>
        <v>11000</v>
      </c>
      <c r="L3" s="21">
        <f>K3/1.2</f>
        <v>9166.6666666666679</v>
      </c>
      <c r="M3" s="21">
        <f>L3*0.2</f>
        <v>1833.3333333333337</v>
      </c>
      <c r="N3" s="11">
        <v>1050</v>
      </c>
      <c r="O3" s="21">
        <f>N3/1.2</f>
        <v>875</v>
      </c>
      <c r="P3" s="21">
        <f>O3*0.2</f>
        <v>175</v>
      </c>
      <c r="Q3" s="11">
        <f>1050+785+1585</f>
        <v>3420</v>
      </c>
      <c r="R3" s="11">
        <f>13570+33625+2150+32150+24410</f>
        <v>105905</v>
      </c>
      <c r="S3" s="21">
        <v>0</v>
      </c>
      <c r="T3" s="21">
        <v>200</v>
      </c>
      <c r="U3" s="31">
        <f>4525+11000+23535+37190+79895+1000</f>
        <v>157145</v>
      </c>
      <c r="V3" s="33" t="s">
        <v>18</v>
      </c>
    </row>
    <row r="4" spans="1:22" x14ac:dyDescent="0.3">
      <c r="A4" s="30">
        <v>45690</v>
      </c>
      <c r="B4" s="11">
        <f>33355+42425</f>
        <v>75780</v>
      </c>
      <c r="C4" s="21">
        <f t="shared" ref="C4:C29" si="0">B4/1.1</f>
        <v>68890.909090909088</v>
      </c>
      <c r="D4" s="21">
        <f t="shared" ref="D4:D29" si="1">C4*0.1</f>
        <v>6889.090909090909</v>
      </c>
      <c r="E4" s="11">
        <f>3550+8320</f>
        <v>11870</v>
      </c>
      <c r="F4" s="21">
        <f t="shared" ref="F4:F30" si="2">E4/1.2</f>
        <v>9891.6666666666679</v>
      </c>
      <c r="G4" s="21">
        <f t="shared" ref="G4:G29" si="3">F4*0.2</f>
        <v>1978.3333333333337</v>
      </c>
      <c r="H4" s="11">
        <f>860+1195</f>
        <v>2055</v>
      </c>
      <c r="I4" s="21">
        <f t="shared" ref="I4:I30" si="4">H4/1.1</f>
        <v>1868.181818181818</v>
      </c>
      <c r="J4" s="21">
        <f t="shared" ref="J4:J29" si="5">I4*0.1</f>
        <v>186.81818181818181</v>
      </c>
      <c r="K4" s="11">
        <f>1600+2100</f>
        <v>3700</v>
      </c>
      <c r="L4" s="21">
        <f t="shared" ref="L4:L30" si="6">K4/1.2</f>
        <v>3083.3333333333335</v>
      </c>
      <c r="M4" s="21">
        <f t="shared" ref="M4:M29" si="7">L4*0.2</f>
        <v>616.66666666666674</v>
      </c>
      <c r="N4" s="11">
        <f>310+200</f>
        <v>510</v>
      </c>
      <c r="O4" s="21">
        <f t="shared" ref="O4:O30" si="8">N4/1.2</f>
        <v>425</v>
      </c>
      <c r="P4" s="21">
        <f t="shared" ref="P4:P29" si="9">O4*0.2</f>
        <v>85</v>
      </c>
      <c r="Q4" s="11">
        <v>4270</v>
      </c>
      <c r="R4" s="11">
        <f>37485+42095</f>
        <v>79580</v>
      </c>
      <c r="S4" s="11">
        <f>7875+2190</f>
        <v>10065</v>
      </c>
      <c r="T4" s="21">
        <v>0</v>
      </c>
      <c r="U4" s="31">
        <v>2700</v>
      </c>
      <c r="V4" s="27"/>
    </row>
    <row r="5" spans="1:22" x14ac:dyDescent="0.3">
      <c r="A5" s="30">
        <v>45691</v>
      </c>
      <c r="B5" s="21"/>
      <c r="C5" s="21">
        <f t="shared" si="0"/>
        <v>0</v>
      </c>
      <c r="D5" s="21">
        <f t="shared" si="1"/>
        <v>0</v>
      </c>
      <c r="E5" s="21"/>
      <c r="F5" s="21">
        <f t="shared" si="2"/>
        <v>0</v>
      </c>
      <c r="G5" s="21">
        <f t="shared" si="3"/>
        <v>0</v>
      </c>
      <c r="H5" s="21"/>
      <c r="I5" s="21">
        <f t="shared" si="4"/>
        <v>0</v>
      </c>
      <c r="J5" s="21">
        <f t="shared" si="5"/>
        <v>0</v>
      </c>
      <c r="K5" s="21"/>
      <c r="L5" s="21">
        <f t="shared" si="6"/>
        <v>0</v>
      </c>
      <c r="M5" s="21">
        <f t="shared" si="7"/>
        <v>0</v>
      </c>
      <c r="N5" s="21"/>
      <c r="O5" s="21">
        <f t="shared" si="8"/>
        <v>0</v>
      </c>
      <c r="P5" s="21">
        <f t="shared" si="9"/>
        <v>0</v>
      </c>
      <c r="Q5" s="21"/>
      <c r="R5" s="21"/>
      <c r="S5" s="21"/>
      <c r="T5" s="21"/>
      <c r="U5" s="31"/>
      <c r="V5" s="27"/>
    </row>
    <row r="6" spans="1:22" x14ac:dyDescent="0.3">
      <c r="A6" s="30">
        <v>45692</v>
      </c>
      <c r="B6" s="21"/>
      <c r="C6" s="21">
        <f t="shared" si="0"/>
        <v>0</v>
      </c>
      <c r="D6" s="21">
        <f t="shared" si="1"/>
        <v>0</v>
      </c>
      <c r="E6" s="21"/>
      <c r="F6" s="21">
        <f t="shared" si="2"/>
        <v>0</v>
      </c>
      <c r="G6" s="21">
        <f t="shared" si="3"/>
        <v>0</v>
      </c>
      <c r="H6" s="21"/>
      <c r="I6" s="21">
        <f t="shared" si="4"/>
        <v>0</v>
      </c>
      <c r="J6" s="21">
        <f t="shared" si="5"/>
        <v>0</v>
      </c>
      <c r="K6" s="21"/>
      <c r="L6" s="21">
        <f t="shared" si="6"/>
        <v>0</v>
      </c>
      <c r="M6" s="21">
        <f t="shared" si="7"/>
        <v>0</v>
      </c>
      <c r="N6" s="21"/>
      <c r="O6" s="21">
        <f t="shared" si="8"/>
        <v>0</v>
      </c>
      <c r="P6" s="21">
        <f t="shared" si="9"/>
        <v>0</v>
      </c>
      <c r="Q6" s="21"/>
      <c r="R6" s="21"/>
      <c r="S6" s="21"/>
      <c r="T6" s="21"/>
      <c r="U6" s="31"/>
      <c r="V6" s="27"/>
    </row>
    <row r="7" spans="1:22" x14ac:dyDescent="0.3">
      <c r="A7" s="30">
        <v>45693</v>
      </c>
      <c r="B7" s="21"/>
      <c r="C7" s="21">
        <f t="shared" si="0"/>
        <v>0</v>
      </c>
      <c r="D7" s="21">
        <f t="shared" si="1"/>
        <v>0</v>
      </c>
      <c r="E7" s="21"/>
      <c r="F7" s="21">
        <f t="shared" si="2"/>
        <v>0</v>
      </c>
      <c r="G7" s="21">
        <f t="shared" si="3"/>
        <v>0</v>
      </c>
      <c r="H7" s="21"/>
      <c r="I7" s="21">
        <f t="shared" si="4"/>
        <v>0</v>
      </c>
      <c r="J7" s="21">
        <f t="shared" si="5"/>
        <v>0</v>
      </c>
      <c r="K7" s="21"/>
      <c r="L7" s="21">
        <f t="shared" si="6"/>
        <v>0</v>
      </c>
      <c r="M7" s="21">
        <f t="shared" si="7"/>
        <v>0</v>
      </c>
      <c r="N7" s="21"/>
      <c r="O7" s="21">
        <f t="shared" si="8"/>
        <v>0</v>
      </c>
      <c r="P7" s="21">
        <f t="shared" si="9"/>
        <v>0</v>
      </c>
      <c r="Q7" s="21"/>
      <c r="R7" s="21"/>
      <c r="S7" s="21"/>
      <c r="T7" s="21"/>
      <c r="U7" s="31"/>
      <c r="V7" s="32"/>
    </row>
    <row r="8" spans="1:22" x14ac:dyDescent="0.3">
      <c r="A8" s="30">
        <v>45694</v>
      </c>
      <c r="B8" s="21"/>
      <c r="C8" s="21">
        <f t="shared" si="0"/>
        <v>0</v>
      </c>
      <c r="D8" s="21">
        <f t="shared" si="1"/>
        <v>0</v>
      </c>
      <c r="E8" s="21"/>
      <c r="F8" s="21">
        <f t="shared" si="2"/>
        <v>0</v>
      </c>
      <c r="G8" s="21">
        <f t="shared" si="3"/>
        <v>0</v>
      </c>
      <c r="H8" s="21"/>
      <c r="I8" s="21">
        <f t="shared" si="4"/>
        <v>0</v>
      </c>
      <c r="J8" s="21">
        <f t="shared" si="5"/>
        <v>0</v>
      </c>
      <c r="K8" s="21"/>
      <c r="L8" s="21">
        <f t="shared" si="6"/>
        <v>0</v>
      </c>
      <c r="M8" s="21">
        <f t="shared" si="7"/>
        <v>0</v>
      </c>
      <c r="N8" s="21"/>
      <c r="O8" s="21">
        <f t="shared" si="8"/>
        <v>0</v>
      </c>
      <c r="P8" s="21">
        <f t="shared" si="9"/>
        <v>0</v>
      </c>
      <c r="Q8" s="21"/>
      <c r="R8" s="21"/>
      <c r="S8" s="21"/>
      <c r="T8" s="21"/>
      <c r="U8" s="31"/>
      <c r="V8" s="27"/>
    </row>
    <row r="9" spans="1:22" x14ac:dyDescent="0.3">
      <c r="A9" s="30">
        <v>45695</v>
      </c>
      <c r="B9" s="21"/>
      <c r="C9" s="21">
        <f t="shared" si="0"/>
        <v>0</v>
      </c>
      <c r="D9" s="21">
        <f t="shared" si="1"/>
        <v>0</v>
      </c>
      <c r="E9" s="21"/>
      <c r="F9" s="21">
        <f t="shared" si="2"/>
        <v>0</v>
      </c>
      <c r="G9" s="21">
        <f t="shared" si="3"/>
        <v>0</v>
      </c>
      <c r="H9" s="21"/>
      <c r="I9" s="21">
        <f t="shared" si="4"/>
        <v>0</v>
      </c>
      <c r="J9" s="21">
        <f t="shared" si="5"/>
        <v>0</v>
      </c>
      <c r="K9" s="21"/>
      <c r="L9" s="21">
        <f t="shared" si="6"/>
        <v>0</v>
      </c>
      <c r="M9" s="21">
        <f t="shared" si="7"/>
        <v>0</v>
      </c>
      <c r="N9" s="21"/>
      <c r="O9" s="21">
        <f t="shared" si="8"/>
        <v>0</v>
      </c>
      <c r="P9" s="21">
        <f t="shared" si="9"/>
        <v>0</v>
      </c>
      <c r="Q9" s="21"/>
      <c r="T9" s="21"/>
      <c r="U9" s="21"/>
      <c r="V9" s="27"/>
    </row>
    <row r="10" spans="1:22" x14ac:dyDescent="0.3">
      <c r="A10" s="30">
        <v>45696</v>
      </c>
      <c r="B10" s="21"/>
      <c r="C10" s="21">
        <f t="shared" si="0"/>
        <v>0</v>
      </c>
      <c r="D10" s="21">
        <f t="shared" si="1"/>
        <v>0</v>
      </c>
      <c r="E10" s="21"/>
      <c r="F10" s="21">
        <f t="shared" si="2"/>
        <v>0</v>
      </c>
      <c r="G10" s="21">
        <f t="shared" si="3"/>
        <v>0</v>
      </c>
      <c r="H10" s="21"/>
      <c r="I10" s="21">
        <f t="shared" si="4"/>
        <v>0</v>
      </c>
      <c r="J10" s="21">
        <f t="shared" si="5"/>
        <v>0</v>
      </c>
      <c r="K10" s="21"/>
      <c r="L10" s="21">
        <f t="shared" si="6"/>
        <v>0</v>
      </c>
      <c r="M10" s="21">
        <f t="shared" si="7"/>
        <v>0</v>
      </c>
      <c r="N10" s="21"/>
      <c r="O10" s="21">
        <f t="shared" si="8"/>
        <v>0</v>
      </c>
      <c r="P10" s="21">
        <f t="shared" si="9"/>
        <v>0</v>
      </c>
      <c r="Q10" s="21"/>
      <c r="R10" s="21"/>
      <c r="S10" s="21"/>
      <c r="T10" s="21"/>
      <c r="U10" s="31"/>
      <c r="V10" s="27"/>
    </row>
    <row r="11" spans="1:22" x14ac:dyDescent="0.3">
      <c r="A11" s="30">
        <v>45697</v>
      </c>
      <c r="B11" s="21"/>
      <c r="C11" s="21">
        <f t="shared" si="0"/>
        <v>0</v>
      </c>
      <c r="D11" s="21">
        <f t="shared" si="1"/>
        <v>0</v>
      </c>
      <c r="E11" s="21"/>
      <c r="F11" s="21">
        <f t="shared" si="2"/>
        <v>0</v>
      </c>
      <c r="G11" s="21">
        <f t="shared" si="3"/>
        <v>0</v>
      </c>
      <c r="H11" s="21"/>
      <c r="I11" s="21">
        <f t="shared" si="4"/>
        <v>0</v>
      </c>
      <c r="J11" s="21">
        <f t="shared" si="5"/>
        <v>0</v>
      </c>
      <c r="K11" s="21"/>
      <c r="L11" s="21">
        <f t="shared" si="6"/>
        <v>0</v>
      </c>
      <c r="M11" s="21">
        <f t="shared" si="7"/>
        <v>0</v>
      </c>
      <c r="N11" s="21"/>
      <c r="O11" s="21">
        <f t="shared" si="8"/>
        <v>0</v>
      </c>
      <c r="P11" s="21">
        <f t="shared" si="9"/>
        <v>0</v>
      </c>
      <c r="Q11" s="21"/>
      <c r="R11" s="21"/>
      <c r="S11" s="21"/>
      <c r="T11" s="21"/>
      <c r="U11" s="31"/>
      <c r="V11" s="33"/>
    </row>
    <row r="12" spans="1:22" x14ac:dyDescent="0.3">
      <c r="A12" s="30">
        <v>45698</v>
      </c>
      <c r="B12" s="21"/>
      <c r="C12" s="21">
        <f t="shared" si="0"/>
        <v>0</v>
      </c>
      <c r="D12" s="21">
        <f t="shared" si="1"/>
        <v>0</v>
      </c>
      <c r="E12" s="21"/>
      <c r="F12" s="21">
        <f t="shared" si="2"/>
        <v>0</v>
      </c>
      <c r="G12" s="21">
        <f t="shared" si="3"/>
        <v>0</v>
      </c>
      <c r="H12" s="21"/>
      <c r="I12" s="21">
        <f t="shared" si="4"/>
        <v>0</v>
      </c>
      <c r="J12" s="21">
        <f t="shared" si="5"/>
        <v>0</v>
      </c>
      <c r="K12" s="21"/>
      <c r="L12" s="21">
        <f t="shared" si="6"/>
        <v>0</v>
      </c>
      <c r="M12" s="21">
        <f t="shared" si="7"/>
        <v>0</v>
      </c>
      <c r="N12" s="21"/>
      <c r="O12" s="21">
        <f t="shared" si="8"/>
        <v>0</v>
      </c>
      <c r="P12" s="21">
        <f t="shared" si="9"/>
        <v>0</v>
      </c>
      <c r="Q12" s="21"/>
      <c r="R12" s="21"/>
      <c r="S12" s="21"/>
      <c r="T12" s="34"/>
      <c r="U12" s="31"/>
      <c r="V12" s="33"/>
    </row>
    <row r="13" spans="1:22" x14ac:dyDescent="0.3">
      <c r="A13" s="30">
        <v>45699</v>
      </c>
      <c r="B13" s="21"/>
      <c r="C13" s="21">
        <f t="shared" si="0"/>
        <v>0</v>
      </c>
      <c r="D13" s="21">
        <f t="shared" si="1"/>
        <v>0</v>
      </c>
      <c r="E13" s="21"/>
      <c r="F13" s="21">
        <f t="shared" si="2"/>
        <v>0</v>
      </c>
      <c r="G13" s="21">
        <f t="shared" si="3"/>
        <v>0</v>
      </c>
      <c r="H13" s="21"/>
      <c r="I13" s="21">
        <f t="shared" si="4"/>
        <v>0</v>
      </c>
      <c r="J13" s="21">
        <f t="shared" si="5"/>
        <v>0</v>
      </c>
      <c r="K13" s="21"/>
      <c r="L13" s="21">
        <f t="shared" si="6"/>
        <v>0</v>
      </c>
      <c r="M13" s="21">
        <f t="shared" si="7"/>
        <v>0</v>
      </c>
      <c r="N13" s="21"/>
      <c r="O13" s="21">
        <f t="shared" si="8"/>
        <v>0</v>
      </c>
      <c r="P13" s="21">
        <f t="shared" si="9"/>
        <v>0</v>
      </c>
      <c r="Q13" s="21"/>
      <c r="R13" s="21"/>
      <c r="S13" s="21"/>
      <c r="T13" s="21"/>
      <c r="U13" s="31"/>
      <c r="V13" s="27"/>
    </row>
    <row r="14" spans="1:22" x14ac:dyDescent="0.3">
      <c r="A14" s="30">
        <v>45700</v>
      </c>
      <c r="B14" s="21"/>
      <c r="C14" s="21">
        <f t="shared" si="0"/>
        <v>0</v>
      </c>
      <c r="D14" s="21">
        <f t="shared" si="1"/>
        <v>0</v>
      </c>
      <c r="E14" s="21"/>
      <c r="F14" s="21">
        <f t="shared" si="2"/>
        <v>0</v>
      </c>
      <c r="G14" s="21">
        <f t="shared" si="3"/>
        <v>0</v>
      </c>
      <c r="H14" s="21"/>
      <c r="I14" s="21">
        <f t="shared" si="4"/>
        <v>0</v>
      </c>
      <c r="J14" s="21">
        <f t="shared" si="5"/>
        <v>0</v>
      </c>
      <c r="K14" s="21"/>
      <c r="L14" s="21">
        <f t="shared" si="6"/>
        <v>0</v>
      </c>
      <c r="M14" s="21">
        <f t="shared" si="7"/>
        <v>0</v>
      </c>
      <c r="N14" s="21"/>
      <c r="O14" s="21">
        <f t="shared" si="8"/>
        <v>0</v>
      </c>
      <c r="P14" s="21">
        <f t="shared" si="9"/>
        <v>0</v>
      </c>
      <c r="Q14" s="21"/>
      <c r="R14" s="21"/>
      <c r="S14" s="21"/>
      <c r="T14" s="21"/>
      <c r="U14" s="31"/>
      <c r="V14" s="27"/>
    </row>
    <row r="15" spans="1:22" x14ac:dyDescent="0.3">
      <c r="A15" s="30">
        <v>45701</v>
      </c>
      <c r="B15" s="21"/>
      <c r="C15" s="21">
        <f t="shared" si="0"/>
        <v>0</v>
      </c>
      <c r="D15" s="21">
        <f t="shared" si="1"/>
        <v>0</v>
      </c>
      <c r="E15" s="21"/>
      <c r="F15" s="21">
        <f t="shared" si="2"/>
        <v>0</v>
      </c>
      <c r="G15" s="21">
        <f t="shared" si="3"/>
        <v>0</v>
      </c>
      <c r="H15" s="21"/>
      <c r="I15" s="21">
        <f t="shared" si="4"/>
        <v>0</v>
      </c>
      <c r="J15" s="21">
        <f t="shared" si="5"/>
        <v>0</v>
      </c>
      <c r="K15" s="21"/>
      <c r="L15" s="21">
        <f t="shared" si="6"/>
        <v>0</v>
      </c>
      <c r="M15" s="21">
        <f t="shared" si="7"/>
        <v>0</v>
      </c>
      <c r="N15" s="21"/>
      <c r="O15" s="21">
        <f t="shared" si="8"/>
        <v>0</v>
      </c>
      <c r="P15" s="21">
        <f t="shared" si="9"/>
        <v>0</v>
      </c>
      <c r="Q15" s="21"/>
      <c r="R15" s="21"/>
      <c r="S15" s="21"/>
      <c r="T15" s="21"/>
      <c r="U15" s="31"/>
      <c r="V15" s="27"/>
    </row>
    <row r="16" spans="1:22" x14ac:dyDescent="0.3">
      <c r="A16" s="30">
        <v>45702</v>
      </c>
      <c r="B16" s="21"/>
      <c r="C16" s="21">
        <f t="shared" si="0"/>
        <v>0</v>
      </c>
      <c r="D16" s="21">
        <f t="shared" si="1"/>
        <v>0</v>
      </c>
      <c r="E16" s="21"/>
      <c r="F16" s="21">
        <f t="shared" si="2"/>
        <v>0</v>
      </c>
      <c r="G16" s="21">
        <f t="shared" si="3"/>
        <v>0</v>
      </c>
      <c r="H16" s="21"/>
      <c r="I16" s="21">
        <f t="shared" si="4"/>
        <v>0</v>
      </c>
      <c r="J16" s="21">
        <f t="shared" si="5"/>
        <v>0</v>
      </c>
      <c r="K16" s="21"/>
      <c r="L16" s="21">
        <f t="shared" si="6"/>
        <v>0</v>
      </c>
      <c r="M16" s="21">
        <f t="shared" si="7"/>
        <v>0</v>
      </c>
      <c r="N16" s="21"/>
      <c r="O16" s="21">
        <f t="shared" si="8"/>
        <v>0</v>
      </c>
      <c r="P16" s="21">
        <f t="shared" si="9"/>
        <v>0</v>
      </c>
      <c r="Q16" s="21"/>
      <c r="R16" s="21"/>
      <c r="S16" s="21"/>
      <c r="T16" s="21"/>
      <c r="U16" s="31"/>
      <c r="V16" s="27"/>
    </row>
    <row r="17" spans="1:22" x14ac:dyDescent="0.3">
      <c r="A17" s="30">
        <v>45703</v>
      </c>
      <c r="B17" s="21"/>
      <c r="C17" s="21">
        <f t="shared" si="0"/>
        <v>0</v>
      </c>
      <c r="D17" s="21">
        <f t="shared" si="1"/>
        <v>0</v>
      </c>
      <c r="E17" s="21"/>
      <c r="F17" s="21">
        <f t="shared" si="2"/>
        <v>0</v>
      </c>
      <c r="G17" s="21">
        <f t="shared" si="3"/>
        <v>0</v>
      </c>
      <c r="H17" s="21"/>
      <c r="I17" s="21">
        <f t="shared" si="4"/>
        <v>0</v>
      </c>
      <c r="J17" s="21">
        <f t="shared" si="5"/>
        <v>0</v>
      </c>
      <c r="K17" s="21"/>
      <c r="L17" s="21">
        <f t="shared" si="6"/>
        <v>0</v>
      </c>
      <c r="M17" s="21">
        <f t="shared" si="7"/>
        <v>0</v>
      </c>
      <c r="N17" s="21"/>
      <c r="O17" s="21">
        <f t="shared" si="8"/>
        <v>0</v>
      </c>
      <c r="P17" s="21">
        <f t="shared" si="9"/>
        <v>0</v>
      </c>
      <c r="Q17" s="21"/>
      <c r="R17" s="21"/>
      <c r="S17" s="21"/>
      <c r="T17" s="21"/>
      <c r="U17" s="31"/>
      <c r="V17" s="27"/>
    </row>
    <row r="18" spans="1:22" x14ac:dyDescent="0.3">
      <c r="A18" s="30">
        <v>45704</v>
      </c>
      <c r="B18" s="21"/>
      <c r="C18" s="21">
        <f t="shared" si="0"/>
        <v>0</v>
      </c>
      <c r="D18" s="21">
        <f t="shared" si="1"/>
        <v>0</v>
      </c>
      <c r="E18" s="21"/>
      <c r="F18" s="21">
        <f t="shared" si="2"/>
        <v>0</v>
      </c>
      <c r="G18" s="21">
        <f t="shared" si="3"/>
        <v>0</v>
      </c>
      <c r="H18" s="21"/>
      <c r="I18" s="21">
        <f t="shared" si="4"/>
        <v>0</v>
      </c>
      <c r="J18" s="21">
        <f t="shared" si="5"/>
        <v>0</v>
      </c>
      <c r="K18" s="21"/>
      <c r="L18" s="21">
        <f t="shared" si="6"/>
        <v>0</v>
      </c>
      <c r="M18" s="21">
        <f t="shared" si="7"/>
        <v>0</v>
      </c>
      <c r="N18" s="21"/>
      <c r="O18" s="21">
        <f t="shared" si="8"/>
        <v>0</v>
      </c>
      <c r="P18" s="21">
        <f t="shared" si="9"/>
        <v>0</v>
      </c>
      <c r="Q18" s="21"/>
      <c r="R18" s="21"/>
      <c r="S18" s="21"/>
      <c r="T18" s="21"/>
      <c r="U18" s="31"/>
      <c r="V18" s="27"/>
    </row>
    <row r="19" spans="1:22" x14ac:dyDescent="0.3">
      <c r="A19" s="30">
        <v>45705</v>
      </c>
      <c r="B19" s="21"/>
      <c r="C19" s="21">
        <f t="shared" si="0"/>
        <v>0</v>
      </c>
      <c r="D19" s="21">
        <f t="shared" si="1"/>
        <v>0</v>
      </c>
      <c r="E19" s="21"/>
      <c r="F19" s="21">
        <f t="shared" si="2"/>
        <v>0</v>
      </c>
      <c r="G19" s="21">
        <f t="shared" si="3"/>
        <v>0</v>
      </c>
      <c r="H19" s="21"/>
      <c r="I19" s="21">
        <f t="shared" si="4"/>
        <v>0</v>
      </c>
      <c r="J19" s="21">
        <f t="shared" si="5"/>
        <v>0</v>
      </c>
      <c r="K19" s="21"/>
      <c r="L19" s="21">
        <f t="shared" si="6"/>
        <v>0</v>
      </c>
      <c r="M19" s="21">
        <f t="shared" si="7"/>
        <v>0</v>
      </c>
      <c r="N19" s="21"/>
      <c r="O19" s="21">
        <f t="shared" si="8"/>
        <v>0</v>
      </c>
      <c r="P19" s="21">
        <f t="shared" si="9"/>
        <v>0</v>
      </c>
      <c r="Q19" s="21"/>
      <c r="R19" s="21"/>
      <c r="S19" s="21"/>
      <c r="T19" s="21"/>
      <c r="U19" s="31"/>
      <c r="V19" s="27"/>
    </row>
    <row r="20" spans="1:22" x14ac:dyDescent="0.3">
      <c r="A20" s="30">
        <v>45706</v>
      </c>
      <c r="B20" s="21"/>
      <c r="C20" s="21">
        <f t="shared" si="0"/>
        <v>0</v>
      </c>
      <c r="D20" s="21">
        <f t="shared" si="1"/>
        <v>0</v>
      </c>
      <c r="E20" s="21"/>
      <c r="F20" s="21">
        <f t="shared" si="2"/>
        <v>0</v>
      </c>
      <c r="G20" s="21">
        <f t="shared" si="3"/>
        <v>0</v>
      </c>
      <c r="H20" s="21"/>
      <c r="I20" s="21">
        <f t="shared" si="4"/>
        <v>0</v>
      </c>
      <c r="J20" s="21">
        <f t="shared" si="5"/>
        <v>0</v>
      </c>
      <c r="K20" s="21"/>
      <c r="L20" s="21">
        <f t="shared" si="6"/>
        <v>0</v>
      </c>
      <c r="M20" s="21">
        <f t="shared" si="7"/>
        <v>0</v>
      </c>
      <c r="N20" s="21"/>
      <c r="O20" s="21">
        <f t="shared" si="8"/>
        <v>0</v>
      </c>
      <c r="P20" s="21">
        <f t="shared" si="9"/>
        <v>0</v>
      </c>
      <c r="Q20" s="21"/>
      <c r="R20" s="21"/>
      <c r="S20" s="21"/>
      <c r="T20" s="21"/>
      <c r="U20" s="31"/>
      <c r="V20" s="27"/>
    </row>
    <row r="21" spans="1:22" x14ac:dyDescent="0.3">
      <c r="A21" s="30">
        <v>45707</v>
      </c>
      <c r="B21" s="21"/>
      <c r="C21" s="21">
        <f t="shared" si="0"/>
        <v>0</v>
      </c>
      <c r="D21" s="21">
        <f t="shared" si="1"/>
        <v>0</v>
      </c>
      <c r="E21" s="21"/>
      <c r="F21" s="21">
        <f t="shared" si="2"/>
        <v>0</v>
      </c>
      <c r="G21" s="21">
        <f t="shared" si="3"/>
        <v>0</v>
      </c>
      <c r="H21" s="21"/>
      <c r="I21" s="21">
        <f t="shared" si="4"/>
        <v>0</v>
      </c>
      <c r="J21" s="21">
        <f t="shared" si="5"/>
        <v>0</v>
      </c>
      <c r="K21" s="21"/>
      <c r="L21" s="21">
        <f t="shared" si="6"/>
        <v>0</v>
      </c>
      <c r="M21" s="21">
        <f t="shared" si="7"/>
        <v>0</v>
      </c>
      <c r="N21" s="21"/>
      <c r="O21" s="21">
        <f t="shared" si="8"/>
        <v>0</v>
      </c>
      <c r="P21" s="21">
        <f t="shared" si="9"/>
        <v>0</v>
      </c>
      <c r="Q21" s="21"/>
      <c r="R21" s="21"/>
      <c r="S21" s="21"/>
      <c r="T21" s="21"/>
      <c r="U21" s="31"/>
      <c r="V21" s="27"/>
    </row>
    <row r="22" spans="1:22" x14ac:dyDescent="0.3">
      <c r="A22" s="30">
        <v>45708</v>
      </c>
      <c r="B22" s="21"/>
      <c r="C22" s="21">
        <f t="shared" si="0"/>
        <v>0</v>
      </c>
      <c r="D22" s="21">
        <f t="shared" si="1"/>
        <v>0</v>
      </c>
      <c r="E22" s="21"/>
      <c r="F22" s="21">
        <f t="shared" si="2"/>
        <v>0</v>
      </c>
      <c r="G22" s="21">
        <f t="shared" si="3"/>
        <v>0</v>
      </c>
      <c r="H22" s="21"/>
      <c r="I22" s="21">
        <f t="shared" si="4"/>
        <v>0</v>
      </c>
      <c r="J22" s="21">
        <f t="shared" si="5"/>
        <v>0</v>
      </c>
      <c r="K22" s="21"/>
      <c r="L22" s="21">
        <f t="shared" si="6"/>
        <v>0</v>
      </c>
      <c r="M22" s="21">
        <f t="shared" si="7"/>
        <v>0</v>
      </c>
      <c r="N22" s="21"/>
      <c r="O22" s="21">
        <f t="shared" si="8"/>
        <v>0</v>
      </c>
      <c r="P22" s="21">
        <f t="shared" si="9"/>
        <v>0</v>
      </c>
      <c r="Q22" s="21"/>
      <c r="R22" s="21"/>
      <c r="S22" s="21"/>
      <c r="T22" s="21"/>
      <c r="U22" s="31"/>
      <c r="V22" s="27"/>
    </row>
    <row r="23" spans="1:22" x14ac:dyDescent="0.3">
      <c r="A23" s="30">
        <v>45709</v>
      </c>
      <c r="B23" s="21"/>
      <c r="C23" s="21">
        <f t="shared" si="0"/>
        <v>0</v>
      </c>
      <c r="D23" s="21">
        <f t="shared" si="1"/>
        <v>0</v>
      </c>
      <c r="E23" s="21"/>
      <c r="F23" s="21">
        <f t="shared" si="2"/>
        <v>0</v>
      </c>
      <c r="G23" s="21">
        <f t="shared" si="3"/>
        <v>0</v>
      </c>
      <c r="H23" s="21"/>
      <c r="I23" s="21">
        <f t="shared" si="4"/>
        <v>0</v>
      </c>
      <c r="J23" s="21">
        <f t="shared" si="5"/>
        <v>0</v>
      </c>
      <c r="K23" s="21"/>
      <c r="L23" s="21">
        <f t="shared" si="6"/>
        <v>0</v>
      </c>
      <c r="M23" s="21">
        <f t="shared" si="7"/>
        <v>0</v>
      </c>
      <c r="N23" s="21"/>
      <c r="O23" s="21">
        <f t="shared" si="8"/>
        <v>0</v>
      </c>
      <c r="P23" s="21">
        <f t="shared" si="9"/>
        <v>0</v>
      </c>
      <c r="Q23" s="21"/>
      <c r="R23" s="21"/>
      <c r="S23" s="21"/>
      <c r="T23" s="21"/>
      <c r="U23" s="31"/>
      <c r="V23" s="27"/>
    </row>
    <row r="24" spans="1:22" x14ac:dyDescent="0.3">
      <c r="A24" s="30">
        <v>45710</v>
      </c>
      <c r="B24" s="21"/>
      <c r="C24" s="21">
        <f t="shared" si="0"/>
        <v>0</v>
      </c>
      <c r="D24" s="21">
        <f t="shared" si="1"/>
        <v>0</v>
      </c>
      <c r="E24" s="21"/>
      <c r="F24" s="21">
        <f t="shared" si="2"/>
        <v>0</v>
      </c>
      <c r="G24" s="21">
        <f t="shared" si="3"/>
        <v>0</v>
      </c>
      <c r="H24" s="21"/>
      <c r="I24" s="21">
        <f t="shared" si="4"/>
        <v>0</v>
      </c>
      <c r="J24" s="21">
        <f t="shared" si="5"/>
        <v>0</v>
      </c>
      <c r="K24" s="21"/>
      <c r="L24" s="21">
        <f t="shared" si="6"/>
        <v>0</v>
      </c>
      <c r="M24" s="21">
        <f t="shared" si="7"/>
        <v>0</v>
      </c>
      <c r="N24" s="21"/>
      <c r="O24" s="21">
        <f t="shared" si="8"/>
        <v>0</v>
      </c>
      <c r="P24" s="21">
        <f t="shared" si="9"/>
        <v>0</v>
      </c>
      <c r="Q24" s="21"/>
      <c r="R24" s="21"/>
      <c r="S24" s="21"/>
      <c r="T24" s="21"/>
      <c r="U24" s="31"/>
      <c r="V24" s="27"/>
    </row>
    <row r="25" spans="1:22" x14ac:dyDescent="0.3">
      <c r="A25" s="30">
        <v>45711</v>
      </c>
      <c r="B25" s="21"/>
      <c r="C25" s="21">
        <f t="shared" si="0"/>
        <v>0</v>
      </c>
      <c r="D25" s="21">
        <f t="shared" si="1"/>
        <v>0</v>
      </c>
      <c r="E25" s="21"/>
      <c r="F25" s="21">
        <f t="shared" si="2"/>
        <v>0</v>
      </c>
      <c r="G25" s="21">
        <f t="shared" si="3"/>
        <v>0</v>
      </c>
      <c r="H25" s="21"/>
      <c r="I25" s="21">
        <f t="shared" si="4"/>
        <v>0</v>
      </c>
      <c r="J25" s="21">
        <f t="shared" si="5"/>
        <v>0</v>
      </c>
      <c r="K25" s="21"/>
      <c r="L25" s="21">
        <f t="shared" si="6"/>
        <v>0</v>
      </c>
      <c r="M25" s="21">
        <f t="shared" si="7"/>
        <v>0</v>
      </c>
      <c r="N25" s="21"/>
      <c r="O25" s="21">
        <f t="shared" si="8"/>
        <v>0</v>
      </c>
      <c r="P25" s="21">
        <f t="shared" si="9"/>
        <v>0</v>
      </c>
      <c r="Q25" s="21"/>
      <c r="R25" s="21"/>
      <c r="S25" s="21"/>
      <c r="T25" s="21"/>
      <c r="U25" s="31"/>
      <c r="V25" s="27"/>
    </row>
    <row r="26" spans="1:22" x14ac:dyDescent="0.3">
      <c r="A26" s="30">
        <v>45712</v>
      </c>
      <c r="B26" s="21"/>
      <c r="C26" s="21">
        <f t="shared" si="0"/>
        <v>0</v>
      </c>
      <c r="D26" s="21">
        <f t="shared" si="1"/>
        <v>0</v>
      </c>
      <c r="E26" s="21"/>
      <c r="F26" s="21">
        <f t="shared" si="2"/>
        <v>0</v>
      </c>
      <c r="G26" s="21">
        <f t="shared" si="3"/>
        <v>0</v>
      </c>
      <c r="H26" s="21"/>
      <c r="I26" s="21">
        <f t="shared" si="4"/>
        <v>0</v>
      </c>
      <c r="J26" s="21">
        <f t="shared" si="5"/>
        <v>0</v>
      </c>
      <c r="K26" s="21"/>
      <c r="L26" s="21">
        <f t="shared" si="6"/>
        <v>0</v>
      </c>
      <c r="M26" s="21">
        <f t="shared" si="7"/>
        <v>0</v>
      </c>
      <c r="N26" s="21"/>
      <c r="O26" s="21">
        <f t="shared" si="8"/>
        <v>0</v>
      </c>
      <c r="P26" s="21">
        <f t="shared" si="9"/>
        <v>0</v>
      </c>
      <c r="Q26" s="21"/>
      <c r="R26" s="21"/>
      <c r="S26" s="21"/>
      <c r="T26" s="21"/>
      <c r="U26" s="31"/>
      <c r="V26" s="27"/>
    </row>
    <row r="27" spans="1:22" x14ac:dyDescent="0.3">
      <c r="A27" s="30">
        <v>45713</v>
      </c>
      <c r="B27" s="21"/>
      <c r="C27" s="21">
        <f t="shared" si="0"/>
        <v>0</v>
      </c>
      <c r="D27" s="21">
        <f t="shared" si="1"/>
        <v>0</v>
      </c>
      <c r="E27" s="21"/>
      <c r="F27" s="21">
        <f t="shared" si="2"/>
        <v>0</v>
      </c>
      <c r="G27" s="21">
        <f t="shared" si="3"/>
        <v>0</v>
      </c>
      <c r="H27" s="21"/>
      <c r="I27" s="21">
        <f t="shared" si="4"/>
        <v>0</v>
      </c>
      <c r="J27" s="21">
        <f t="shared" si="5"/>
        <v>0</v>
      </c>
      <c r="K27" s="21"/>
      <c r="L27" s="21">
        <f t="shared" si="6"/>
        <v>0</v>
      </c>
      <c r="M27" s="21">
        <f t="shared" si="7"/>
        <v>0</v>
      </c>
      <c r="N27" s="21"/>
      <c r="O27" s="21">
        <f t="shared" si="8"/>
        <v>0</v>
      </c>
      <c r="P27" s="21">
        <f t="shared" si="9"/>
        <v>0</v>
      </c>
      <c r="Q27" s="21"/>
      <c r="R27" s="21"/>
      <c r="S27" s="21"/>
      <c r="T27" s="21"/>
      <c r="U27" s="31"/>
      <c r="V27" s="27"/>
    </row>
    <row r="28" spans="1:22" x14ac:dyDescent="0.3">
      <c r="A28" s="30">
        <v>45714</v>
      </c>
      <c r="B28" s="21"/>
      <c r="C28" s="21">
        <f t="shared" si="0"/>
        <v>0</v>
      </c>
      <c r="D28" s="21">
        <f t="shared" si="1"/>
        <v>0</v>
      </c>
      <c r="E28" s="21"/>
      <c r="F28" s="21">
        <f t="shared" si="2"/>
        <v>0</v>
      </c>
      <c r="G28" s="21">
        <f t="shared" si="3"/>
        <v>0</v>
      </c>
      <c r="H28" s="21"/>
      <c r="I28" s="21">
        <f t="shared" si="4"/>
        <v>0</v>
      </c>
      <c r="J28" s="21">
        <f t="shared" si="5"/>
        <v>0</v>
      </c>
      <c r="K28" s="21"/>
      <c r="L28" s="21">
        <f t="shared" si="6"/>
        <v>0</v>
      </c>
      <c r="M28" s="21">
        <f t="shared" si="7"/>
        <v>0</v>
      </c>
      <c r="N28" s="21"/>
      <c r="O28" s="21">
        <f t="shared" si="8"/>
        <v>0</v>
      </c>
      <c r="P28" s="21">
        <f t="shared" si="9"/>
        <v>0</v>
      </c>
      <c r="Q28" s="21"/>
      <c r="R28" s="21"/>
      <c r="S28" s="21"/>
      <c r="T28" s="21"/>
      <c r="U28" s="31"/>
      <c r="V28" s="27"/>
    </row>
    <row r="29" spans="1:22" x14ac:dyDescent="0.3">
      <c r="A29" s="30">
        <v>45715</v>
      </c>
      <c r="B29" s="21"/>
      <c r="C29" s="21">
        <f t="shared" si="0"/>
        <v>0</v>
      </c>
      <c r="D29" s="21">
        <f t="shared" si="1"/>
        <v>0</v>
      </c>
      <c r="E29" s="21"/>
      <c r="F29" s="21">
        <f t="shared" si="2"/>
        <v>0</v>
      </c>
      <c r="G29" s="21">
        <f t="shared" si="3"/>
        <v>0</v>
      </c>
      <c r="H29" s="21"/>
      <c r="I29" s="21">
        <f t="shared" si="4"/>
        <v>0</v>
      </c>
      <c r="J29" s="21">
        <f t="shared" si="5"/>
        <v>0</v>
      </c>
      <c r="K29" s="21"/>
      <c r="L29" s="21">
        <f t="shared" si="6"/>
        <v>0</v>
      </c>
      <c r="M29" s="21">
        <f t="shared" si="7"/>
        <v>0</v>
      </c>
      <c r="N29" s="21"/>
      <c r="O29" s="21">
        <f t="shared" si="8"/>
        <v>0</v>
      </c>
      <c r="P29" s="21">
        <f t="shared" si="9"/>
        <v>0</v>
      </c>
      <c r="Q29" s="21"/>
      <c r="R29" s="21"/>
      <c r="S29" s="21"/>
      <c r="T29" s="21"/>
      <c r="U29" s="31"/>
      <c r="V29" s="27"/>
    </row>
    <row r="30" spans="1:22" x14ac:dyDescent="0.3">
      <c r="B30" s="36">
        <f>SUM(B3:B29)</f>
        <v>107860</v>
      </c>
      <c r="C30" s="37">
        <f>B30/1.1</f>
        <v>98054.545454545441</v>
      </c>
      <c r="D30" s="37">
        <f t="shared" ref="D30" si="10">C30*10/100</f>
        <v>9805.4545454545441</v>
      </c>
      <c r="E30" s="36">
        <f>SUM(E3:E29)</f>
        <v>75795</v>
      </c>
      <c r="F30" s="37">
        <f t="shared" si="2"/>
        <v>63162.5</v>
      </c>
      <c r="G30" s="37">
        <f t="shared" ref="G30" si="11">F30*20/100</f>
        <v>12632.5</v>
      </c>
      <c r="H30" s="36">
        <f>SUM(H3:H29)</f>
        <v>3325</v>
      </c>
      <c r="I30" s="37">
        <f t="shared" si="4"/>
        <v>3022.7272727272725</v>
      </c>
      <c r="J30" s="37">
        <f t="shared" ref="J30" si="12">I30*10/100</f>
        <v>302.27272727272725</v>
      </c>
      <c r="K30" s="36">
        <f>SUM(K3:K29)</f>
        <v>14700</v>
      </c>
      <c r="L30" s="37">
        <f t="shared" si="6"/>
        <v>12250</v>
      </c>
      <c r="M30" s="37">
        <f t="shared" ref="M30" si="13">L30*20/100</f>
        <v>2450</v>
      </c>
      <c r="N30" s="36">
        <f>SUM(N3:N29)</f>
        <v>1560</v>
      </c>
      <c r="O30" s="37">
        <f t="shared" si="8"/>
        <v>1300</v>
      </c>
      <c r="P30" s="37">
        <f t="shared" ref="P30" si="14">O30*20/100</f>
        <v>260</v>
      </c>
      <c r="Q30" s="36">
        <f>SUM(Q3:Q29)</f>
        <v>7690</v>
      </c>
      <c r="R30" s="36">
        <f>SUM(R3:R29)</f>
        <v>185485</v>
      </c>
      <c r="S30" s="36"/>
      <c r="T30" s="36">
        <f>SUM(T3:T29)</f>
        <v>200</v>
      </c>
      <c r="U30" s="36">
        <f>SUM(U4:U29)</f>
        <v>2700</v>
      </c>
      <c r="V30" s="27"/>
    </row>
    <row r="31" spans="1:22" x14ac:dyDescent="0.3"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</row>
    <row r="32" spans="1:22" x14ac:dyDescent="0.3"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</row>
  </sheetData>
  <mergeCells count="1">
    <mergeCell ref="T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OCAK</vt:lpstr>
      <vt:lpstr>ŞUBAT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2025-02-06T13:54:42Z</cp:lastPrinted>
  <dcterms:created xsi:type="dcterms:W3CDTF">2023-03-28T06:21:12Z</dcterms:created>
  <dcterms:modified xsi:type="dcterms:W3CDTF">2025-02-07T10:51:21Z</dcterms:modified>
  <cp:category/>
  <cp:contentStatus/>
</cp:coreProperties>
</file>